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7.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Allgemein\Infodienst\"/>
    </mc:Choice>
  </mc:AlternateContent>
  <bookViews>
    <workbookView xWindow="1665" yWindow="0" windowWidth="27135" windowHeight="11700"/>
  </bookViews>
  <sheets>
    <sheet name="Hinweise" sheetId="3" r:id="rId1"/>
    <sheet name="Kapazitäten flüssig" sheetId="8" r:id="rId2"/>
    <sheet name="Kapazitäten fest" sheetId="10" r:id="rId3"/>
    <sheet name="Sickersaft" sheetId="11" r:id="rId4"/>
    <sheet name="Weitere Zuflüsse" sheetId="6" r:id="rId5"/>
    <sheet name="Ergebnis" sheetId="16" r:id="rId6"/>
    <sheet name="Klimadaten" sheetId="21" r:id="rId7"/>
    <sheet name="Beispiele" sheetId="18" state="hidden" r:id="rId8"/>
    <sheet name="Tabelle2" sheetId="19" state="hidden" r:id="rId9"/>
  </sheets>
  <definedNames>
    <definedName name="_xlnm._FilterDatabase" localSheetId="6" hidden="1">Klimadaten!$B$4:$E$1108</definedName>
    <definedName name="_xlnm.Database">Klimadaten!$A$4:$G$1107</definedName>
    <definedName name="_xlnm.Print_Area" localSheetId="7">Beispiele!$A$1:$O$65</definedName>
    <definedName name="_xlnm.Print_Area" localSheetId="5">Ergebnis!$A$3:$I$40</definedName>
    <definedName name="_xlnm.Print_Area" localSheetId="0">Hinweise!$B$1:$J$104</definedName>
    <definedName name="_xlnm.Print_Area" localSheetId="2">'Kapazitäten fest'!$A$2:$K$25</definedName>
    <definedName name="_xlnm.Print_Area" localSheetId="1">'Kapazitäten flüssig'!$A$3:$K$60</definedName>
    <definedName name="_xlnm.Print_Area" localSheetId="3">Sickersaft!$B$3:$L$60</definedName>
    <definedName name="_xlnm.Print_Area" localSheetId="4">'Weitere Zuflüsse'!$B$3:$I$45</definedName>
    <definedName name="_xlnm.Print_Titles" localSheetId="6">Klimadaten!$4:$4</definedName>
  </definedNames>
  <calcPr calcId="162913"/>
</workbook>
</file>

<file path=xl/calcChain.xml><?xml version="1.0" encoding="utf-8"?>
<calcChain xmlns="http://schemas.openxmlformats.org/spreadsheetml/2006/main">
  <c r="L50" i="8" l="1"/>
  <c r="L51" i="8"/>
  <c r="L52" i="8"/>
  <c r="L56" i="8"/>
  <c r="L57" i="8"/>
  <c r="L58" i="8"/>
  <c r="L55" i="8"/>
  <c r="M36" i="6" l="1"/>
  <c r="M35" i="6" l="1"/>
  <c r="M34" i="6"/>
  <c r="N25" i="11"/>
  <c r="N24" i="11"/>
  <c r="N23" i="11"/>
  <c r="N22" i="11"/>
  <c r="N21" i="11"/>
  <c r="N20" i="11"/>
  <c r="N18" i="11"/>
  <c r="N17" i="11"/>
  <c r="N16" i="11"/>
  <c r="N15" i="11"/>
  <c r="O15" i="11"/>
  <c r="R58" i="8" l="1"/>
  <c r="R57" i="8"/>
  <c r="R56" i="8"/>
  <c r="R55" i="8"/>
  <c r="R52" i="8"/>
  <c r="R51" i="8"/>
  <c r="R50" i="8"/>
  <c r="R49" i="8"/>
  <c r="J28" i="8"/>
  <c r="R28" i="8"/>
  <c r="R27" i="8"/>
  <c r="R26" i="8"/>
  <c r="R25" i="8"/>
  <c r="R24" i="8"/>
  <c r="R23" i="8"/>
  <c r="R22" i="8"/>
  <c r="R21" i="8"/>
  <c r="R18" i="8"/>
  <c r="R17" i="8"/>
  <c r="R16" i="8"/>
  <c r="R15" i="8"/>
  <c r="R14" i="8"/>
  <c r="R13" i="8"/>
  <c r="R12" i="8"/>
  <c r="R11" i="8"/>
  <c r="R10" i="8"/>
  <c r="R9" i="8"/>
  <c r="H2" i="10"/>
  <c r="D2" i="10"/>
  <c r="E5" i="11"/>
  <c r="I5" i="11"/>
  <c r="L36" i="6"/>
  <c r="L34" i="6"/>
  <c r="K35" i="6"/>
  <c r="K28" i="6"/>
  <c r="K14" i="6"/>
  <c r="K15" i="6"/>
  <c r="K18" i="6"/>
  <c r="O52" i="11"/>
  <c r="O51" i="11"/>
  <c r="O50" i="11"/>
  <c r="O49" i="11"/>
  <c r="O48" i="11"/>
  <c r="O47" i="11"/>
  <c r="O46" i="11"/>
  <c r="O45" i="11"/>
  <c r="O37" i="11"/>
  <c r="O36" i="11"/>
  <c r="O35" i="11"/>
  <c r="O34" i="11"/>
  <c r="O33" i="11"/>
  <c r="O21" i="11"/>
  <c r="O22" i="11"/>
  <c r="O23" i="11"/>
  <c r="O24" i="11"/>
  <c r="O25" i="11"/>
  <c r="O18" i="11"/>
  <c r="O17" i="11"/>
  <c r="O16" i="11"/>
  <c r="G1108" i="21" l="1"/>
  <c r="F1108" i="21"/>
  <c r="F5" i="16" l="1"/>
  <c r="B5" i="16"/>
  <c r="F5" i="6"/>
  <c r="C5" i="6"/>
  <c r="T50" i="11" l="1"/>
  <c r="T51" i="11"/>
  <c r="T52" i="11"/>
  <c r="T35" i="11"/>
  <c r="T36" i="11"/>
  <c r="T37" i="11"/>
  <c r="T38" i="11"/>
  <c r="S46" i="11"/>
  <c r="S50" i="11"/>
  <c r="S51" i="11"/>
  <c r="S52" i="11"/>
  <c r="S37" i="11"/>
  <c r="S38" i="11"/>
  <c r="F18" i="6"/>
  <c r="F16" i="6"/>
  <c r="F15" i="6"/>
  <c r="F14" i="6"/>
  <c r="B1" i="19" l="1"/>
  <c r="L22" i="8" l="1"/>
  <c r="L23" i="8"/>
  <c r="L24" i="8"/>
  <c r="L25" i="8"/>
  <c r="L26" i="8"/>
  <c r="L27" i="8"/>
  <c r="L28" i="8"/>
  <c r="L21" i="8"/>
  <c r="L10" i="8"/>
  <c r="L11" i="8"/>
  <c r="L12" i="8"/>
  <c r="L13" i="8"/>
  <c r="L14" i="8"/>
  <c r="L15" i="8"/>
  <c r="L16" i="8"/>
  <c r="L17" i="8"/>
  <c r="L18" i="8"/>
  <c r="I36" i="6" l="1"/>
  <c r="K36" i="6" s="1"/>
  <c r="I35" i="6"/>
  <c r="L35" i="6" s="1"/>
  <c r="I34" i="6"/>
  <c r="I37" i="6" l="1"/>
  <c r="K34" i="6"/>
  <c r="H20" i="16"/>
  <c r="F28" i="6"/>
  <c r="F27" i="6"/>
  <c r="F26" i="6"/>
  <c r="F13" i="6"/>
  <c r="B44" i="11"/>
  <c r="F37" i="11"/>
  <c r="D37" i="11"/>
  <c r="D35" i="11"/>
  <c r="D36" i="11"/>
  <c r="K35" i="11"/>
  <c r="K36" i="11"/>
  <c r="F35" i="11"/>
  <c r="H35" i="11" s="1"/>
  <c r="F36" i="11"/>
  <c r="H36" i="11" s="1"/>
  <c r="R23" i="11"/>
  <c r="R24" i="11"/>
  <c r="L23" i="11"/>
  <c r="Q23" i="11" s="1"/>
  <c r="L24" i="11"/>
  <c r="Q24" i="11" s="1"/>
  <c r="K10" i="11"/>
  <c r="K23" i="11" l="1"/>
  <c r="K24" i="11"/>
  <c r="K52" i="11"/>
  <c r="K51" i="11"/>
  <c r="K50" i="11"/>
  <c r="K49" i="11"/>
  <c r="K48" i="11"/>
  <c r="K47" i="11"/>
  <c r="K46" i="11"/>
  <c r="K45" i="11"/>
  <c r="D33" i="11"/>
  <c r="D34" i="11"/>
  <c r="D38" i="11"/>
  <c r="O20" i="11" l="1"/>
  <c r="R16" i="11"/>
  <c r="R17" i="11"/>
  <c r="R18" i="11"/>
  <c r="R20" i="11"/>
  <c r="R21" i="11"/>
  <c r="R22" i="11"/>
  <c r="R25" i="11"/>
  <c r="R15" i="11"/>
  <c r="L21" i="11"/>
  <c r="K21" i="11" s="1"/>
  <c r="L22" i="11"/>
  <c r="K22" i="11" s="1"/>
  <c r="L25" i="11"/>
  <c r="Q25" i="11" s="1"/>
  <c r="L20" i="11"/>
  <c r="K20" i="11" s="1"/>
  <c r="B32" i="11"/>
  <c r="F34" i="11"/>
  <c r="F38" i="11"/>
  <c r="F33" i="11"/>
  <c r="H33" i="11" s="1"/>
  <c r="E38" i="11"/>
  <c r="O38" i="11" s="1"/>
  <c r="K25" i="11" l="1"/>
  <c r="Q22" i="11"/>
  <c r="Q21" i="11"/>
  <c r="Q20" i="11"/>
  <c r="N14" i="11"/>
  <c r="F19" i="8" l="1"/>
  <c r="J33" i="8"/>
  <c r="J58" i="8"/>
  <c r="J57" i="8"/>
  <c r="J56" i="8"/>
  <c r="J52" i="8"/>
  <c r="J51" i="8"/>
  <c r="J50" i="8"/>
  <c r="H42" i="3"/>
  <c r="H41" i="3"/>
  <c r="H40" i="3"/>
  <c r="J27" i="8"/>
  <c r="J26" i="8"/>
  <c r="J25" i="8"/>
  <c r="J24" i="8"/>
  <c r="J23" i="8"/>
  <c r="J22" i="8"/>
  <c r="J18" i="8"/>
  <c r="J17" i="8"/>
  <c r="J16" i="8"/>
  <c r="J15" i="8"/>
  <c r="J14" i="8"/>
  <c r="J13" i="8"/>
  <c r="J12" i="8"/>
  <c r="Q14" i="8"/>
  <c r="J10" i="8" s="1"/>
  <c r="Q15" i="8"/>
  <c r="Q16" i="8"/>
  <c r="Q13" i="8"/>
  <c r="J21" i="8" s="1"/>
  <c r="F37" i="8"/>
  <c r="J37" i="8"/>
  <c r="F38" i="8"/>
  <c r="J38" i="8"/>
  <c r="F39" i="8"/>
  <c r="J39" i="8"/>
  <c r="F40" i="8"/>
  <c r="J40" i="8"/>
  <c r="J55" i="8" l="1"/>
  <c r="R8" i="8"/>
  <c r="J11" i="8"/>
  <c r="K33" i="11"/>
  <c r="B1" i="8" l="1"/>
  <c r="J1" i="16"/>
  <c r="F36" i="16"/>
  <c r="F35" i="16"/>
  <c r="F14" i="16"/>
  <c r="F13" i="16"/>
  <c r="H9" i="16"/>
  <c r="E28" i="6" l="1"/>
  <c r="E18" i="6"/>
  <c r="I18" i="6" l="1"/>
  <c r="L18" i="6" s="1"/>
  <c r="M18" i="6"/>
  <c r="I28" i="6"/>
  <c r="L28" i="6" s="1"/>
  <c r="M28" i="6"/>
  <c r="E14" i="6"/>
  <c r="E15" i="6"/>
  <c r="H13" i="10"/>
  <c r="H12" i="10"/>
  <c r="H11" i="10"/>
  <c r="H10" i="10"/>
  <c r="H9" i="10"/>
  <c r="H8" i="10"/>
  <c r="E13" i="6"/>
  <c r="K38" i="11"/>
  <c r="K37" i="11"/>
  <c r="K34" i="11"/>
  <c r="I13" i="6" l="1"/>
  <c r="K13" i="6" s="1"/>
  <c r="M13" i="6"/>
  <c r="I15" i="6"/>
  <c r="L15" i="6" s="1"/>
  <c r="M15" i="6"/>
  <c r="I14" i="6"/>
  <c r="L14" i="6" s="1"/>
  <c r="M14" i="6"/>
  <c r="L13" i="6"/>
  <c r="Q53" i="11"/>
  <c r="H14" i="10"/>
  <c r="E16" i="6" s="1"/>
  <c r="H47" i="11"/>
  <c r="H46" i="11"/>
  <c r="M16" i="6" l="1"/>
  <c r="M12" i="6" s="1"/>
  <c r="I16" i="6"/>
  <c r="E19" i="6"/>
  <c r="O7" i="11"/>
  <c r="B1" i="6" l="1"/>
  <c r="J3" i="16"/>
  <c r="K16" i="6"/>
  <c r="I19" i="6"/>
  <c r="L16" i="6"/>
  <c r="L15" i="11"/>
  <c r="L17" i="11"/>
  <c r="K17" i="11" s="1"/>
  <c r="L16" i="11"/>
  <c r="K16" i="11" s="1"/>
  <c r="L18" i="11"/>
  <c r="K18" i="11" s="1"/>
  <c r="I47" i="11"/>
  <c r="I46" i="11"/>
  <c r="H37" i="11"/>
  <c r="H34" i="11"/>
  <c r="H45" i="11"/>
  <c r="H48" i="11"/>
  <c r="H49" i="11"/>
  <c r="H50" i="11"/>
  <c r="H51" i="11"/>
  <c r="H52" i="11"/>
  <c r="L10" i="11"/>
  <c r="Q15" i="11" l="1"/>
  <c r="L26" i="11"/>
  <c r="L36" i="11"/>
  <c r="L35" i="11"/>
  <c r="S35" i="11" s="1"/>
  <c r="L46" i="11"/>
  <c r="T46" i="11" s="1"/>
  <c r="L47" i="11"/>
  <c r="Q16" i="11"/>
  <c r="Q18" i="11"/>
  <c r="Q17" i="11"/>
  <c r="K15" i="11"/>
  <c r="K26" i="11" s="1"/>
  <c r="L34" i="11"/>
  <c r="L37" i="11"/>
  <c r="N46" i="11"/>
  <c r="I45" i="11"/>
  <c r="I51" i="11"/>
  <c r="N51" i="11" s="1"/>
  <c r="I49" i="11"/>
  <c r="L49" i="11" s="1"/>
  <c r="I52" i="11"/>
  <c r="N52" i="11" s="1"/>
  <c r="I50" i="11"/>
  <c r="N50" i="11" s="1"/>
  <c r="I48" i="11"/>
  <c r="H38" i="11"/>
  <c r="O27" i="11" l="1"/>
  <c r="N27" i="11" s="1"/>
  <c r="L52" i="11"/>
  <c r="L51" i="11"/>
  <c r="T49" i="11"/>
  <c r="S49" i="11"/>
  <c r="S34" i="11"/>
  <c r="T34" i="11"/>
  <c r="S47" i="11"/>
  <c r="T47" i="11"/>
  <c r="L45" i="11"/>
  <c r="L50" i="11"/>
  <c r="S36" i="11"/>
  <c r="N47" i="11"/>
  <c r="L48" i="11"/>
  <c r="S48" i="11" s="1"/>
  <c r="N49" i="11"/>
  <c r="L27" i="11"/>
  <c r="L55" i="11" s="1"/>
  <c r="I53" i="11"/>
  <c r="L33" i="11"/>
  <c r="S33" i="11" s="1"/>
  <c r="L38" i="11"/>
  <c r="J13" i="10"/>
  <c r="J12" i="10"/>
  <c r="J11" i="10"/>
  <c r="J10" i="10"/>
  <c r="J9" i="10"/>
  <c r="J8" i="10"/>
  <c r="J36" i="8"/>
  <c r="F36" i="8"/>
  <c r="J35" i="8"/>
  <c r="F35" i="8"/>
  <c r="J34" i="8"/>
  <c r="F34" i="8"/>
  <c r="F33" i="8"/>
  <c r="M9" i="8"/>
  <c r="L49" i="8" l="1"/>
  <c r="L59" i="8" s="1"/>
  <c r="E27" i="6" s="1"/>
  <c r="I27" i="6" s="1"/>
  <c r="K27" i="6" s="1"/>
  <c r="I44" i="6" s="1"/>
  <c r="I41" i="6" s="1"/>
  <c r="F26" i="16" s="1"/>
  <c r="L9" i="8"/>
  <c r="L29" i="8" s="1"/>
  <c r="E26" i="6" s="1"/>
  <c r="J49" i="8"/>
  <c r="J59" i="8" s="1"/>
  <c r="F15" i="16" s="1"/>
  <c r="F18" i="16" s="1"/>
  <c r="J9" i="8"/>
  <c r="J29" i="8" s="1"/>
  <c r="F11" i="16" s="1"/>
  <c r="N45" i="11"/>
  <c r="L53" i="11"/>
  <c r="L39" i="11"/>
  <c r="S45" i="11"/>
  <c r="L59" i="11" s="1"/>
  <c r="T45" i="11"/>
  <c r="T33" i="11"/>
  <c r="T48" i="11"/>
  <c r="N48" i="11"/>
  <c r="O14" i="11"/>
  <c r="J41" i="8"/>
  <c r="J14" i="10"/>
  <c r="J20" i="10" s="1"/>
  <c r="H39" i="11"/>
  <c r="B1" i="11" l="1"/>
  <c r="J2" i="16"/>
  <c r="J4" i="16" s="1"/>
  <c r="H1" i="16" s="1"/>
  <c r="G26" i="16"/>
  <c r="H26" i="16" s="1"/>
  <c r="N53" i="11"/>
  <c r="I26" i="6"/>
  <c r="E29" i="6"/>
  <c r="L60" i="11"/>
  <c r="L58" i="11" s="1"/>
  <c r="Q27" i="11"/>
  <c r="R27" i="11"/>
  <c r="F34" i="16"/>
  <c r="F12" i="16"/>
  <c r="F17" i="16" s="1"/>
  <c r="I29" i="6" l="1"/>
  <c r="I42" i="6" s="1"/>
  <c r="I39" i="6" s="1"/>
  <c r="L26" i="6"/>
  <c r="I43" i="6" s="1"/>
  <c r="G24" i="16"/>
  <c r="L57" i="11"/>
  <c r="F22" i="16" s="1"/>
  <c r="G23" i="16"/>
  <c r="L56" i="11"/>
  <c r="F21" i="16" s="1"/>
  <c r="F37" i="16"/>
  <c r="I40" i="6" l="1"/>
  <c r="F25" i="16" s="1"/>
  <c r="G25" i="16"/>
  <c r="H25" i="16" s="1"/>
  <c r="F23" i="16"/>
  <c r="K21" i="16" s="1"/>
  <c r="F24" i="16"/>
  <c r="F29" i="16" s="1"/>
  <c r="H23" i="16"/>
  <c r="H24" i="16"/>
  <c r="H21" i="16"/>
  <c r="G21" i="16"/>
  <c r="H22" i="16"/>
  <c r="G22" i="16"/>
  <c r="J23" i="16" s="1"/>
  <c r="F16" i="16"/>
  <c r="G29" i="16" l="1"/>
  <c r="H29" i="16"/>
  <c r="G27" i="16"/>
  <c r="B1" i="16"/>
  <c r="J21" i="16"/>
  <c r="G14" i="16" s="1"/>
  <c r="H27" i="16"/>
  <c r="F28" i="16"/>
  <c r="G28" i="16" s="1"/>
  <c r="H28" i="16" s="1"/>
  <c r="F27" i="16"/>
</calcChain>
</file>

<file path=xl/comments1.xml><?xml version="1.0" encoding="utf-8"?>
<comments xmlns="http://schemas.openxmlformats.org/spreadsheetml/2006/main">
  <authors>
    <author>Müller, Richard (LEL)</author>
  </authors>
  <commentList>
    <comment ref="F7" authorId="0" shapeId="0">
      <text>
        <r>
          <rPr>
            <sz val="8"/>
            <color indexed="81"/>
            <rFont val="Tahoma"/>
            <family val="2"/>
          </rPr>
          <t xml:space="preserve">Zur Berücksichtigung von Wellenschlag durch Wind oder Homogenisierungseinrichtungen ist ein Mindestfreibord einzuhalten:
- offene Behälter: 20 cm
- geschlossene Behälter: 10 cm
- Erdbecken: 50 cm
Zusätzlich wird für alle Behältertypen ein technischer Rest von 0,1 m veranschlagt.
Der Mindestfreibord und der technische Rest werden von der Brutto-Höhe abgezogen. Dies wird vom Programm nach Auswahl der Behälterart berechnet. Daher sind die Angaben immer in Brutto, also der gesamten baulichen Höhe, einzugeben. </t>
        </r>
      </text>
    </comment>
    <comment ref="F19" authorId="0" shapeId="0">
      <text>
        <r>
          <rPr>
            <sz val="8"/>
            <color indexed="81"/>
            <rFont val="Tahoma"/>
            <family val="2"/>
          </rPr>
          <t xml:space="preserve">Zur Berücksichtigung von Wellenschlag durch Wind oder Homogenisierungseinrichtungen ist ein Mindestfreibord einzuhalten:
- offene Behälter: 20 cm
- geschlossene Behälter: 10 cm
- Erdbecken: 50 cm
Zusätzlich wird für alle Behältertypen ein technischer Rest von 0,1 m veranschlagt.
Der Mindestfreibord und der technische Rest werden von der Brutto-Höhe abgezogen. Dies wird vom Programm nach Auswahl der Behälterart berechnet. Daher sind die Angaben immer in Brutto, also der gesamten baulichen Höhe, einzugeben. </t>
        </r>
      </text>
    </comment>
    <comment ref="E31" authorId="0" shapeId="0">
      <text>
        <r>
          <rPr>
            <sz val="8"/>
            <color indexed="81"/>
            <rFont val="Tahoma"/>
            <family val="2"/>
          </rPr>
          <t xml:space="preserve">Es ist ein betriebsspezifischer Freibord von mindestens 10 cm bis zur Spaltenunterkante zu veranschlagen. Bei Unterflurabsaugung oder bei einer Homogenisierung können auch größere Abstände erforderlich sein.
Der Mindestfreibord wird von der Brutto-Höhe abgezogen. Dies wird vom Programm berechnet. Daher sind die Angaben immer in Brutto, also der gesamten baulichen Höhe, einzugeben. </t>
        </r>
      </text>
    </comment>
    <comment ref="F47" authorId="0" shapeId="0">
      <text>
        <r>
          <rPr>
            <sz val="8"/>
            <color indexed="81"/>
            <rFont val="Tahoma"/>
            <family val="2"/>
          </rPr>
          <t xml:space="preserve">Zur Berücksichtigung von Wellenschlag durch Wind oder Homogenisierungseinrichtungen ist ein Mindestfreibord einzuhalten:
- offene Behälter: 20 cm
- geschlossene Behälter: 10 cm
Der Mindestfreibord wird von der Brutto-Höhe abgezogen. Dies wird vom Programm nach Auswahl der Behälterart berechnet. Daher sind die Angaben immer in Brutto, also der gesamten baulichen Höhe, einzugeben. </t>
        </r>
      </text>
    </comment>
    <comment ref="F53" authorId="0" shapeId="0">
      <text>
        <r>
          <rPr>
            <sz val="8"/>
            <color indexed="81"/>
            <rFont val="Tahoma"/>
            <family val="2"/>
          </rPr>
          <t xml:space="preserve">Zur Berücksichtigung von Wellenschlag durch Wind oder Homogenisierungseinrichtungen ist ein Mindestfreibord einzuhalten:
- offene Behälter: 20 cm
- geschlossene Behälter: 10 cm
Der Mindestfreibord wird von der Brutto-Höhe abgezogen. Dies wird vom Programm nach Auswahl der Behälterart berechnet. Daher sind die Angaben immer in Brutto, also der gesamten baulichen Höhe, einzugeben. </t>
        </r>
      </text>
    </comment>
  </commentList>
</comments>
</file>

<file path=xl/comments2.xml><?xml version="1.0" encoding="utf-8"?>
<comments xmlns="http://schemas.openxmlformats.org/spreadsheetml/2006/main">
  <authors>
    <author>Müller, Richard (LEL)</author>
  </authors>
  <commentList>
    <comment ref="H9" authorId="0" shapeId="0">
      <text>
        <r>
          <rPr>
            <b/>
            <sz val="9"/>
            <color indexed="81"/>
            <rFont val="Arial"/>
            <family val="2"/>
          </rPr>
          <t xml:space="preserve">DüV § 12 Abs. 2:
</t>
        </r>
        <r>
          <rPr>
            <sz val="9"/>
            <color indexed="81"/>
            <rFont val="Arial"/>
            <family val="2"/>
          </rPr>
          <t xml:space="preserve">Betriebe, die flüssige Wirtschaftsdünger, wie Jauche oder Gülle, oder Gärrückstände erzeugen, haben sicherzustellen, dass sie mindestens die in einem Zeitraum von </t>
        </r>
        <r>
          <rPr>
            <b/>
            <sz val="9"/>
            <color indexed="81"/>
            <rFont val="Arial"/>
            <family val="2"/>
          </rPr>
          <t>6 Monaten</t>
        </r>
        <r>
          <rPr>
            <sz val="9"/>
            <color indexed="81"/>
            <rFont val="Arial"/>
            <family val="2"/>
          </rPr>
          <t xml:space="preserve"> anfallenden flüssigen Wirtschaftsdünger oder Gärrückstände sicher lagern können.
</t>
        </r>
        <r>
          <rPr>
            <sz val="8"/>
            <color indexed="81"/>
            <rFont val="Tahoma"/>
            <family val="2"/>
          </rPr>
          <t xml:space="preserve">
</t>
        </r>
        <r>
          <rPr>
            <b/>
            <sz val="9"/>
            <color indexed="81"/>
            <rFont val="Arial"/>
            <family val="2"/>
          </rPr>
          <t xml:space="preserve">DüV § 12 Abs. 3:
</t>
        </r>
        <r>
          <rPr>
            <sz val="9"/>
            <color indexed="81"/>
            <rFont val="Arial"/>
            <family val="2"/>
          </rPr>
          <t xml:space="preserve">Betriebe, die mehr als 3 Großvieheinheiten je Hektar landwirtschaftlich genutzter Fläche halten , sowie Betriebe, die über keine eigene Ausbringsflächen verfügen, haben ab dem 1. Januar 2020 sichzustellen, dass sie mindestens die in einem Zeitraum von </t>
        </r>
        <r>
          <rPr>
            <b/>
            <sz val="9"/>
            <color indexed="81"/>
            <rFont val="Arial"/>
            <family val="2"/>
          </rPr>
          <t>9 Monaten</t>
        </r>
        <r>
          <rPr>
            <sz val="9"/>
            <color indexed="81"/>
            <rFont val="Arial"/>
            <family val="2"/>
          </rPr>
          <t xml:space="preserve"> anfallenden flüssigen Wirtschaftsdünger oder Gärrückstände sicher lagern können.</t>
        </r>
      </text>
    </comment>
    <comment ref="H22" authorId="0" shapeId="0">
      <text>
        <r>
          <rPr>
            <b/>
            <sz val="8"/>
            <color indexed="81"/>
            <rFont val="Tahoma"/>
            <family val="2"/>
          </rPr>
          <t>Gärsaft 3% des größten Einzelsilos je Jahr</t>
        </r>
      </text>
    </comment>
    <comment ref="H24" authorId="0" shapeId="0">
      <text>
        <r>
          <rPr>
            <b/>
            <sz val="8"/>
            <color indexed="81"/>
            <rFont val="Tahoma"/>
            <family val="2"/>
          </rPr>
          <t xml:space="preserve">je 3 Monate
</t>
        </r>
      </text>
    </comment>
    <comment ref="H26" authorId="0" shapeId="0">
      <text>
        <r>
          <rPr>
            <b/>
            <sz val="8"/>
            <color indexed="81"/>
            <rFont val="Tahoma"/>
            <family val="2"/>
          </rPr>
          <t>je 3 Monate</t>
        </r>
      </text>
    </comment>
    <comment ref="F32" authorId="0" shapeId="0">
      <text>
        <r>
          <rPr>
            <b/>
            <sz val="9"/>
            <color indexed="81"/>
            <rFont val="Arial"/>
            <family val="2"/>
          </rPr>
          <t xml:space="preserve">DüV § 12 Abs. 4:
</t>
        </r>
        <r>
          <rPr>
            <sz val="9"/>
            <color indexed="81"/>
            <rFont val="Arial"/>
            <family val="2"/>
          </rPr>
          <t xml:space="preserve">Betriebe, die Festmist oder Kompost erzeugen, haben ab dem 1. Januar 2020 sicherzustellen, dass sie jeweils mindestens die in einem Zeitraum von </t>
        </r>
        <r>
          <rPr>
            <b/>
            <sz val="9"/>
            <color indexed="81"/>
            <rFont val="Arial"/>
            <family val="2"/>
          </rPr>
          <t>2 Monaten</t>
        </r>
        <r>
          <rPr>
            <sz val="9"/>
            <color indexed="81"/>
            <rFont val="Arial"/>
            <family val="2"/>
          </rPr>
          <t xml:space="preserve"> anfallende Menge der genannten Düngemittel sicher lagern können.</t>
        </r>
      </text>
    </comment>
  </commentList>
</comments>
</file>

<file path=xl/sharedStrings.xml><?xml version="1.0" encoding="utf-8"?>
<sst xmlns="http://schemas.openxmlformats.org/spreadsheetml/2006/main" count="2767" uniqueCount="1445">
  <si>
    <t>Gülle</t>
  </si>
  <si>
    <t>Monate</t>
  </si>
  <si>
    <t>m³</t>
  </si>
  <si>
    <t>Anzahl</t>
  </si>
  <si>
    <t>m³ gesamt</t>
  </si>
  <si>
    <t>Jahresniederschlag</t>
  </si>
  <si>
    <t>Liter/m²</t>
  </si>
  <si>
    <t>%</t>
  </si>
  <si>
    <t>m³/m²</t>
  </si>
  <si>
    <t>Lagerkapazität</t>
  </si>
  <si>
    <t>m²</t>
  </si>
  <si>
    <t>Lagerraum</t>
  </si>
  <si>
    <t>Durchmesser</t>
  </si>
  <si>
    <t>m</t>
  </si>
  <si>
    <t>geschlossen</t>
  </si>
  <si>
    <t>offen</t>
  </si>
  <si>
    <t>Höhe</t>
  </si>
  <si>
    <t>Länge</t>
  </si>
  <si>
    <t>Breite</t>
  </si>
  <si>
    <t>rund</t>
  </si>
  <si>
    <t>rechteckig</t>
  </si>
  <si>
    <t xml:space="preserve"> Zu- und Verpacht von Lagerraum</t>
  </si>
  <si>
    <t xml:space="preserve"> Summe Lagerkapazitäten</t>
  </si>
  <si>
    <t xml:space="preserve"> Erläuterungen</t>
  </si>
  <si>
    <r>
      <t xml:space="preserve"> Gülle-/Jauchegruben </t>
    </r>
    <r>
      <rPr>
        <b/>
        <vertAlign val="superscript"/>
        <sz val="12"/>
        <color theme="4"/>
        <rFont val="Arial"/>
        <family val="2"/>
      </rPr>
      <t>1)</t>
    </r>
  </si>
  <si>
    <t xml:space="preserve"> vorhandene Lagerkapazitäten</t>
  </si>
  <si>
    <t xml:space="preserve"> Güllekanäle-/keller</t>
  </si>
  <si>
    <t>Güllekanäle-/keller</t>
  </si>
  <si>
    <t xml:space="preserve"> und  Gärrestlager</t>
  </si>
  <si>
    <t>Vorhandene flüssige Lagerkapazitäten</t>
  </si>
  <si>
    <t>Vorhandene feste Lagerkapazitäten</t>
  </si>
  <si>
    <t>Weitere Zuflüsse</t>
  </si>
  <si>
    <t>mm</t>
  </si>
  <si>
    <t>Ermittlung des Sickersaftanfalls</t>
  </si>
  <si>
    <t>Verunreinigtes Niederschlagswasser aus der Siloanlage wird bei der Berechnung der Kapazität des Sickersaftbehälters berücksichtigt.</t>
  </si>
  <si>
    <t>Dachwasserzulauf</t>
  </si>
  <si>
    <t>Erdbecken</t>
  </si>
  <si>
    <t>Abstand bei Unterflurabsaugung / Homogenisierung in cm</t>
  </si>
  <si>
    <t>Güllekanal 1</t>
  </si>
  <si>
    <t>Güllekanal 2</t>
  </si>
  <si>
    <t>Güllekanal 3</t>
  </si>
  <si>
    <t>Güllekanal 4</t>
  </si>
  <si>
    <t>Summe Güllekanäle-/keller</t>
  </si>
  <si>
    <t>Summe Gülle-/Jauchegruben und Garrestlager</t>
  </si>
  <si>
    <t xml:space="preserve"> Sickersaftbehälter</t>
  </si>
  <si>
    <t xml:space="preserve"> Festmistlager</t>
  </si>
  <si>
    <t>Summe Festmistlager</t>
  </si>
  <si>
    <t>Summe vorhande Festmistlager</t>
  </si>
  <si>
    <t xml:space="preserve">Hinweis: </t>
  </si>
  <si>
    <t xml:space="preserve">Grundfläche </t>
  </si>
  <si>
    <t>Überfüllung</t>
  </si>
  <si>
    <t>Summe Volumen Silos</t>
  </si>
  <si>
    <t xml:space="preserve">Lagervolumen </t>
  </si>
  <si>
    <t>Summe Grundfläche Silos</t>
  </si>
  <si>
    <t>Grundfläche</t>
  </si>
  <si>
    <t>anrechenbar</t>
  </si>
  <si>
    <t>Zuleitung</t>
  </si>
  <si>
    <t>separat</t>
  </si>
  <si>
    <t>Güllebehälter</t>
  </si>
  <si>
    <t xml:space="preserve">Notwendige Lagerkapazität für </t>
  </si>
  <si>
    <t>Tiefe</t>
  </si>
  <si>
    <t>Behälter 1</t>
  </si>
  <si>
    <t>Behälter 2</t>
  </si>
  <si>
    <t>Behälter 3</t>
  </si>
  <si>
    <t>Behälter 4</t>
  </si>
  <si>
    <t>Behälter 5</t>
  </si>
  <si>
    <t>Behälter 6</t>
  </si>
  <si>
    <t>Behälter 7</t>
  </si>
  <si>
    <t>Behälter 8</t>
  </si>
  <si>
    <t>Verdunstung</t>
  </si>
  <si>
    <t>Pi</t>
  </si>
  <si>
    <t xml:space="preserve">wasser für … Monate </t>
  </si>
  <si>
    <t>verschmutztes Niederschlags-</t>
  </si>
  <si>
    <t>Laufhof</t>
  </si>
  <si>
    <t>Sonstige Rangierfläche</t>
  </si>
  <si>
    <t>Festmistlager</t>
  </si>
  <si>
    <t>Summe befestigte Flächen</t>
  </si>
  <si>
    <t>Jahresnieder-schlag</t>
  </si>
  <si>
    <t>Sonstige Rangierfläche, Festmistlager, etc….)</t>
  </si>
  <si>
    <r>
      <t xml:space="preserve">alle </t>
    </r>
    <r>
      <rPr>
        <b/>
        <sz val="11"/>
        <color theme="1"/>
        <rFont val="Arial"/>
        <family val="2"/>
      </rPr>
      <t>befestigten Flächen</t>
    </r>
    <r>
      <rPr>
        <sz val="11"/>
        <color theme="1"/>
        <rFont val="Arial"/>
        <family val="2"/>
      </rPr>
      <t xml:space="preserve">, von denen Niederschlagswasser eingeleitet werden muss (z.B. Laufhof, Abfüllfläche, </t>
    </r>
  </si>
  <si>
    <t>Summe offene Behälter</t>
  </si>
  <si>
    <t>offene Sickersaftbehälter</t>
  </si>
  <si>
    <t>Summe Sickersaftbehälter</t>
  </si>
  <si>
    <t>Gülle-/Jauchegruben, Gärrestlager</t>
  </si>
  <si>
    <t>Sickersaftlager</t>
  </si>
  <si>
    <t>12 Monate</t>
  </si>
  <si>
    <t>offene Behälter</t>
  </si>
  <si>
    <t>Summe Sonstige Zuflüsse</t>
  </si>
  <si>
    <t>1 Monat</t>
  </si>
  <si>
    <t>Flüssige Wirtschaftsdünger</t>
  </si>
  <si>
    <t>Feste Wirtschaftsdünger</t>
  </si>
  <si>
    <t>Bearbeitung</t>
  </si>
  <si>
    <t>Ziele und Anwendungsmöglichkeiten</t>
  </si>
  <si>
    <t>Handhabung</t>
  </si>
  <si>
    <t>vom 18. April 2017 (BGBl. I S. 905)</t>
  </si>
  <si>
    <t>Jauche-, Gülle- und Silagesickersaftanlagen (JGS-Anlagen)</t>
  </si>
  <si>
    <t>Verunreinigtes Niederschlagswasser je Monat</t>
  </si>
  <si>
    <t>gesamt</t>
  </si>
  <si>
    <t>Verordnung über Anlagen zum Umgang mit wassergefährdenden Stoffen (AwSV)</t>
  </si>
  <si>
    <t>Fläche 1</t>
  </si>
  <si>
    <t>Fläche 2</t>
  </si>
  <si>
    <t>Abfüllfläche mit Verschmutzung</t>
  </si>
  <si>
    <t>Freibord</t>
  </si>
  <si>
    <t>Güllekanal 5</t>
  </si>
  <si>
    <t>Güllekanal 6</t>
  </si>
  <si>
    <t>Güllekanal 7</t>
  </si>
  <si>
    <t>Güllekanal 8</t>
  </si>
  <si>
    <t>zusammen</t>
  </si>
  <si>
    <t>Techn. Rest</t>
  </si>
  <si>
    <t>Behälter 9</t>
  </si>
  <si>
    <t>Behälter 10</t>
  </si>
  <si>
    <t>Kapazitäten flüssig</t>
  </si>
  <si>
    <t>Gülle-/Jauchegruben und Gärrestlager</t>
  </si>
  <si>
    <r>
      <t>zurück zu &lt;</t>
    </r>
    <r>
      <rPr>
        <b/>
        <sz val="11"/>
        <color theme="1"/>
        <rFont val="Arial"/>
        <family val="2"/>
      </rPr>
      <t>Kapazitäten flüssig</t>
    </r>
    <r>
      <rPr>
        <sz val="11"/>
        <color theme="1"/>
        <rFont val="Arial"/>
        <family val="2"/>
      </rPr>
      <t>&gt;</t>
    </r>
  </si>
  <si>
    <t>Behälter 11</t>
  </si>
  <si>
    <t>Behälter 12</t>
  </si>
  <si>
    <t>Behälter 13</t>
  </si>
  <si>
    <t>Behälter 14</t>
  </si>
  <si>
    <t>Behälter 15</t>
  </si>
  <si>
    <t>Behälter 16</t>
  </si>
  <si>
    <t>Behälter 17</t>
  </si>
  <si>
    <t>Behälter 18</t>
  </si>
  <si>
    <t>Behältertyp</t>
  </si>
  <si>
    <t>Lager 1</t>
  </si>
  <si>
    <t>Lager 2</t>
  </si>
  <si>
    <t>Lager 3</t>
  </si>
  <si>
    <t>Lager 4</t>
  </si>
  <si>
    <t>Lager 5</t>
  </si>
  <si>
    <t>Lager 6</t>
  </si>
  <si>
    <t>Zur Berücksichtigung von Wellenschlag durch Wind oder Homogenisierungseinrichtungen ist ein Mindestfreibord einzuhalten:</t>
  </si>
  <si>
    <t>Zusätzlich wird für alle Behältertypen ein technischer Rest von 0,1 m veranschlagt.</t>
  </si>
  <si>
    <t xml:space="preserve">Der Mindestfreibord und der technische Rest werden von der Brutto-Höhe abgezogen. Dies wird vom Programm nach </t>
  </si>
  <si>
    <t xml:space="preserve">Auswahl der Behälterart berechnet. Daher sind die Angaben immer in Brutto, also der gesamten baulichen Höhe, einzugeben. </t>
  </si>
  <si>
    <t>Einzelsilo</t>
  </si>
  <si>
    <t xml:space="preserve"> (z.B. Hochsilo)</t>
  </si>
  <si>
    <t>Silo 1</t>
  </si>
  <si>
    <t>Silo 2</t>
  </si>
  <si>
    <t>Silo 3</t>
  </si>
  <si>
    <t>Silo 4</t>
  </si>
  <si>
    <t>Silotyp und -bezeichnung</t>
  </si>
  <si>
    <t>Gärsaft 3% des größten Einzelsilos</t>
  </si>
  <si>
    <t>geöffnete</t>
  </si>
  <si>
    <t>Silos</t>
  </si>
  <si>
    <t>Grundlage ist das langjährige Mittel der jährlichen Niederschlagsmenge des Gebietes abzüglich einer Verdunstungsrate in Höhe von 15 %. Je Monat Lagerdauer ist mindestens 1/12 dieses Wertes anzusetzen.</t>
  </si>
  <si>
    <t>Prozent</t>
  </si>
  <si>
    <t>Bei separater Zuleitung werden 3 Monate, bei Einleitung in einen Güllebehälter 6 Monate berechnet.</t>
  </si>
  <si>
    <t>Es wird die Hälfte der Grundfläche des offenen Silos angerechnet, weil das Silo am Anfang nicht, am Ende komplett offen ist.</t>
  </si>
  <si>
    <t>Fläche 3</t>
  </si>
  <si>
    <t>Fläche 4</t>
  </si>
  <si>
    <t>Fläche 5</t>
  </si>
  <si>
    <t>Fläche 6</t>
  </si>
  <si>
    <t>Fläche 7</t>
  </si>
  <si>
    <t>Fläche 8</t>
  </si>
  <si>
    <t>Summe Abfüllfläche</t>
  </si>
  <si>
    <t xml:space="preserve">Niederschlag je m² </t>
  </si>
  <si>
    <t>bzw. je Monat</t>
  </si>
  <si>
    <t>Grassilage leer</t>
  </si>
  <si>
    <t>Grassilage voll</t>
  </si>
  <si>
    <t>Grassilage im Anschnitt</t>
  </si>
  <si>
    <t>Maissilage im Anschnitt</t>
  </si>
  <si>
    <t>µ</t>
  </si>
  <si>
    <t>Abfüllplatz 1</t>
  </si>
  <si>
    <t>Abfüllplatz 2</t>
  </si>
  <si>
    <t>Abfüllplatz 3</t>
  </si>
  <si>
    <t>Abfüllplatz 4</t>
  </si>
  <si>
    <t>Fahrsilo</t>
  </si>
  <si>
    <t>Trennschacht</t>
  </si>
  <si>
    <t>verunreinigt</t>
  </si>
  <si>
    <t>nicht verunreinigt</t>
  </si>
  <si>
    <t>leer</t>
  </si>
  <si>
    <t>angeschnitten</t>
  </si>
  <si>
    <t>Abfüllplatz</t>
  </si>
  <si>
    <t>Fall I</t>
  </si>
  <si>
    <t>Fall II</t>
  </si>
  <si>
    <t>Abfüllplätze getrennt</t>
  </si>
  <si>
    <r>
      <t xml:space="preserve">Fahrsiloanlage mit </t>
    </r>
    <r>
      <rPr>
        <b/>
        <u/>
        <sz val="14"/>
        <color rgb="FF0070C0"/>
        <rFont val="Arial"/>
        <family val="2"/>
      </rPr>
      <t>separaten</t>
    </r>
    <r>
      <rPr>
        <b/>
        <sz val="14"/>
        <color rgb="FF0070C0"/>
        <rFont val="Arial"/>
        <family val="2"/>
      </rPr>
      <t xml:space="preserve"> Querrinnen</t>
    </r>
  </si>
  <si>
    <t>T</t>
  </si>
  <si>
    <t>T = Trennschacht</t>
  </si>
  <si>
    <t>voll</t>
  </si>
  <si>
    <t>solange Sickersaft kommt, auf verunreinigt gestellt</t>
  </si>
  <si>
    <t>Beispiel 2: TRwS</t>
  </si>
  <si>
    <t>Fall III</t>
  </si>
  <si>
    <t>Beispiele Fahrsiloanlagen</t>
  </si>
  <si>
    <t>Querrinne</t>
  </si>
  <si>
    <t>Abfüllplätze nicht getrennt</t>
  </si>
  <si>
    <t>Fall IV</t>
  </si>
  <si>
    <t>Reinigungswasser (z.B. Melkhausabwässer; 2,5 m³/Kuh und Jahr)</t>
  </si>
  <si>
    <t>offene Gülle-/Jauchegruben, Gärrestlager</t>
  </si>
  <si>
    <t>Lagerkapazität    je Monat</t>
  </si>
  <si>
    <t>m³ je Monat</t>
  </si>
  <si>
    <t>Jahr</t>
  </si>
  <si>
    <t>Monat</t>
  </si>
  <si>
    <t>Sonstige Zuflüsse je Monat</t>
  </si>
  <si>
    <t xml:space="preserve">rechteckig </t>
  </si>
  <si>
    <t>(z.B. Fahrsilo)</t>
  </si>
  <si>
    <r>
      <t xml:space="preserve">Fahrsiloanlage </t>
    </r>
    <r>
      <rPr>
        <b/>
        <u/>
        <sz val="14"/>
        <color rgb="FF0070C0"/>
        <rFont val="Arial"/>
        <family val="2"/>
      </rPr>
      <t>ohne</t>
    </r>
    <r>
      <rPr>
        <b/>
        <sz val="14"/>
        <color rgb="FF0070C0"/>
        <rFont val="Arial"/>
        <family val="2"/>
      </rPr>
      <t xml:space="preserve"> Querrinne</t>
    </r>
  </si>
  <si>
    <t>A</t>
  </si>
  <si>
    <t>HINWEISE ZUM PROGRAMM</t>
  </si>
  <si>
    <t>2.</t>
  </si>
  <si>
    <t>1.</t>
  </si>
  <si>
    <t>3.</t>
  </si>
  <si>
    <t>B</t>
  </si>
  <si>
    <t>HINWEISE ZU DEN ARBEITSBLÄTTERN</t>
  </si>
  <si>
    <t>QUELLEN</t>
  </si>
  <si>
    <t>Kapazitäten fest</t>
  </si>
  <si>
    <t>4.</t>
  </si>
  <si>
    <t>Sickersaft</t>
  </si>
  <si>
    <t>Ergebnisse</t>
  </si>
  <si>
    <t>DüV § 12 Abs. 2:</t>
  </si>
  <si>
    <t>DüV § 12 Abs. 3:</t>
  </si>
  <si>
    <t xml:space="preserve">Betriebe, die flüssige Wirtschaftsdünger, wie Jauche oder Gülle, oder Gärrückstände erzeugen, haben sicherzustellen, dass </t>
  </si>
  <si>
    <t xml:space="preserve">sie mindestens die in einem Zeitraum von 6 Monaten anfallenden flüssigen Wirtschaftsdünger oder Gärrückstände sicher </t>
  </si>
  <si>
    <t>lagern können.</t>
  </si>
  <si>
    <t xml:space="preserve">keine eigene Ausbringsflächen verfügen, haben ab dem 1. Januar 2020 sichzustellen, dass sie mindestens die in einem </t>
  </si>
  <si>
    <t>Zeitraum von 9 Monaten anfallenden flüssigen Wirtschaftsdünger oder Gärrückstände sicher lagern können.</t>
  </si>
  <si>
    <t>DüV § 12 Abs. 4:</t>
  </si>
  <si>
    <t xml:space="preserve">Betriebe, die Festmist oder Kompost erzeugen, haben ab dem 1. Januar 2020 sicherzustellen, dass sie jeweils mindestens </t>
  </si>
  <si>
    <t>die in einem Zeitraum von 2 Monaten anfallende Menge der genannten Düngemittel sicher lagern können.</t>
  </si>
  <si>
    <t>C</t>
  </si>
  <si>
    <t xml:space="preserve">Verunreinigte Niederschlagswässer auf der Festmistplatte und der Abfüllfläche für Festmist sind auf dem </t>
  </si>
  <si>
    <t>Dr. Hansjörg Nußbaum, LAZBW Aulendorf</t>
  </si>
  <si>
    <t>Heute</t>
  </si>
  <si>
    <t>Ablaufdatum</t>
  </si>
  <si>
    <t>davon in Güllebehälter</t>
  </si>
  <si>
    <t>davon separat</t>
  </si>
  <si>
    <t>Bedarf Sickersaft für 3 Monate</t>
  </si>
  <si>
    <t>Ort</t>
  </si>
  <si>
    <t>Unternehmen</t>
  </si>
  <si>
    <t xml:space="preserve">Ort  </t>
  </si>
  <si>
    <t>Niederschlag je Monat</t>
  </si>
  <si>
    <r>
      <t xml:space="preserve">Gärsaft 3% des größten Einzelsilos </t>
    </r>
    <r>
      <rPr>
        <b/>
        <u/>
        <sz val="14"/>
        <rFont val="Arial"/>
        <family val="2"/>
      </rPr>
      <t>je Jahr</t>
    </r>
  </si>
  <si>
    <t>Technische Regel wassergefährdender Stoffe (TRwS) – Jauche-, Gülle- und Silagesickersaftanlagen (JGS-Anlagen) (August 2018)</t>
  </si>
  <si>
    <t>Arbeitsblatt DWA A-792</t>
  </si>
  <si>
    <t>Zupacht von Lagerraum / Abgabe Gülle</t>
  </si>
  <si>
    <t>Verpacht von Lagerraum / Aufnahme Gülle</t>
  </si>
  <si>
    <t>Zupacht von Lagerraum / Abgabe Festmist</t>
  </si>
  <si>
    <t>Verpacht von Lagerraum / Aufnahme Festmist</t>
  </si>
  <si>
    <t>Verpacht Lagerraum / Aufnahme Festmist ( - )</t>
  </si>
  <si>
    <t>Zupacht von Lagerraum / Abgabe Festmist ( + )</t>
  </si>
  <si>
    <t>Verpacht Lagerraum / Aufnahme Gülle ( - )</t>
  </si>
  <si>
    <t>Zupacht Lagerraum / Abgabe Gülle ( + )</t>
  </si>
  <si>
    <t>Klimadaten der Gemeinden Baden-Württembergs</t>
  </si>
  <si>
    <t>Temperatur und Niederschläge</t>
  </si>
  <si>
    <t>GMD_SCHL</t>
  </si>
  <si>
    <t>Gemeinde</t>
  </si>
  <si>
    <t>LKR_NR</t>
  </si>
  <si>
    <t>LANDKREIS</t>
  </si>
  <si>
    <t>Temperatur</t>
  </si>
  <si>
    <t>Niederschlag</t>
  </si>
  <si>
    <t>Stuttgart, Landeshauptstadt</t>
  </si>
  <si>
    <t>Stuttgart</t>
  </si>
  <si>
    <t>Aidlingen</t>
  </si>
  <si>
    <t>Böblingen</t>
  </si>
  <si>
    <t>Altdorf</t>
  </si>
  <si>
    <t>Böblingen, Stadt</t>
  </si>
  <si>
    <t>Bondorf</t>
  </si>
  <si>
    <t>Deckenpfronn</t>
  </si>
  <si>
    <t>Ehningen</t>
  </si>
  <si>
    <t>Gärtringen</t>
  </si>
  <si>
    <t>Gäufelden</t>
  </si>
  <si>
    <t>Herrenberg, Stadt</t>
  </si>
  <si>
    <t>Hildrizhausen</t>
  </si>
  <si>
    <t>Holzgerlingen, Stadt</t>
  </si>
  <si>
    <t>Leonberg, Stadt</t>
  </si>
  <si>
    <t>Magstadt</t>
  </si>
  <si>
    <t>Mötzingen</t>
  </si>
  <si>
    <t>Nufringen</t>
  </si>
  <si>
    <t>Renningen, Stadt</t>
  </si>
  <si>
    <t>Rutesheim, Stadt</t>
  </si>
  <si>
    <t>Schönaich</t>
  </si>
  <si>
    <t>Sindelfingen, Stadt</t>
  </si>
  <si>
    <t>Steinenbronn</t>
  </si>
  <si>
    <t>Waldenbuch, Stadt</t>
  </si>
  <si>
    <t>Weil der Stadt, Stadt</t>
  </si>
  <si>
    <t>Weil im Schönbuch</t>
  </si>
  <si>
    <t>Weissach</t>
  </si>
  <si>
    <t>Jettingen</t>
  </si>
  <si>
    <t>Grafenau</t>
  </si>
  <si>
    <t>Altbach</t>
  </si>
  <si>
    <t>Esslingen</t>
  </si>
  <si>
    <t>Altenriet</t>
  </si>
  <si>
    <t>Baltmannsweiler</t>
  </si>
  <si>
    <t>Bempflingen</t>
  </si>
  <si>
    <t>Beuren</t>
  </si>
  <si>
    <t>Bissingen an der Teck</t>
  </si>
  <si>
    <t>Deizisau</t>
  </si>
  <si>
    <t>Denkendorf</t>
  </si>
  <si>
    <t>Dettingen unter Teck</t>
  </si>
  <si>
    <t>Erkenbrechtsweiler</t>
  </si>
  <si>
    <t>Esslingen am Neckar, Stadt</t>
  </si>
  <si>
    <t>Frickenhausen</t>
  </si>
  <si>
    <t>Großbettlingen</t>
  </si>
  <si>
    <t>Hochdorf</t>
  </si>
  <si>
    <t>Holzmaden</t>
  </si>
  <si>
    <t>Kirchheim unter Teck, Stadt</t>
  </si>
  <si>
    <t>Köngen</t>
  </si>
  <si>
    <t>Kohlberg</t>
  </si>
  <si>
    <t>Lichtenwald</t>
  </si>
  <si>
    <t>Neckartailfingen</t>
  </si>
  <si>
    <t>Neckartenzlingen</t>
  </si>
  <si>
    <t>Neidlingen</t>
  </si>
  <si>
    <t>Neuffen, Stadt</t>
  </si>
  <si>
    <t>Neuhausen auf den Fildern</t>
  </si>
  <si>
    <t>Notzingen</t>
  </si>
  <si>
    <t>Nürtingen, Stadt</t>
  </si>
  <si>
    <t>Oberboihingen</t>
  </si>
  <si>
    <t>Ohmden</t>
  </si>
  <si>
    <t>Owen, Stadt</t>
  </si>
  <si>
    <t>Plochingen, Stadt</t>
  </si>
  <si>
    <t>Reichenbach an der Fils</t>
  </si>
  <si>
    <t>Schlaitdorf</t>
  </si>
  <si>
    <t>Unterensingen</t>
  </si>
  <si>
    <t>Weilheim an der Teck, Stadt</t>
  </si>
  <si>
    <t>Wendlingen am Neckar, Stadt</t>
  </si>
  <si>
    <t>Wernau (Neckar), Stadt</t>
  </si>
  <si>
    <t>Wolfschlugen</t>
  </si>
  <si>
    <t>Aichwald</t>
  </si>
  <si>
    <t>Filderstadt, Stadt</t>
  </si>
  <si>
    <t>Leinfelden-Echterdingen, Stadt</t>
  </si>
  <si>
    <t>Lenningen</t>
  </si>
  <si>
    <t>Ostfildern, Stadt</t>
  </si>
  <si>
    <t>Aichtal, Stadt</t>
  </si>
  <si>
    <t>Adelberg</t>
  </si>
  <si>
    <t>Göppingen</t>
  </si>
  <si>
    <t>Aichelberg</t>
  </si>
  <si>
    <t>Albershausen</t>
  </si>
  <si>
    <t>Bad Ditzenbach</t>
  </si>
  <si>
    <t>Bad Überkingen</t>
  </si>
  <si>
    <t>Birenbach</t>
  </si>
  <si>
    <t>Böhmenkirch</t>
  </si>
  <si>
    <t>Börtlingen</t>
  </si>
  <si>
    <t>Bad Boll</t>
  </si>
  <si>
    <t>Deggingen</t>
  </si>
  <si>
    <t>Donzdorf, Stadt</t>
  </si>
  <si>
    <t>Drackenstein</t>
  </si>
  <si>
    <t>Dürnau</t>
  </si>
  <si>
    <t>Ebersbach an der Fils, Stadt</t>
  </si>
  <si>
    <t>Eislingen/Fils, Stadt</t>
  </si>
  <si>
    <t>Eschenbach</t>
  </si>
  <si>
    <t>Gammelshausen</t>
  </si>
  <si>
    <t>Geislingen an der Steige, Stadt</t>
  </si>
  <si>
    <t>Gingen an der Fils</t>
  </si>
  <si>
    <t>Göppingen, Stadt</t>
  </si>
  <si>
    <t>Gruibingen</t>
  </si>
  <si>
    <t>Hattenhofen</t>
  </si>
  <si>
    <t>Heiningen</t>
  </si>
  <si>
    <t>Hohenstadt</t>
  </si>
  <si>
    <t>Kuchen</t>
  </si>
  <si>
    <t>Mühlhausen im Täle</t>
  </si>
  <si>
    <t>Ottenbach</t>
  </si>
  <si>
    <t>Rechberghausen</t>
  </si>
  <si>
    <t>Salach</t>
  </si>
  <si>
    <t>Schlat</t>
  </si>
  <si>
    <t>Schlierbach</t>
  </si>
  <si>
    <t>Süßen, Stadt</t>
  </si>
  <si>
    <t>Uhingen, Stadt</t>
  </si>
  <si>
    <t>Wäschenbeuren</t>
  </si>
  <si>
    <t>Wangen</t>
  </si>
  <si>
    <t>Wiesensteig, Stadt</t>
  </si>
  <si>
    <t>Zell unter Aichelberg</t>
  </si>
  <si>
    <t>Lauterstein, Stadt</t>
  </si>
  <si>
    <t>Affalterbach</t>
  </si>
  <si>
    <t>Ludwigsburg</t>
  </si>
  <si>
    <t>Asperg, Stadt</t>
  </si>
  <si>
    <t>Benningen am Neckar</t>
  </si>
  <si>
    <t>Besigheim, Stadt</t>
  </si>
  <si>
    <t>Bönnigheim, Stadt</t>
  </si>
  <si>
    <t>Ditzingen, Stadt</t>
  </si>
  <si>
    <t>Eberdingen</t>
  </si>
  <si>
    <t>Erdmannhausen</t>
  </si>
  <si>
    <t>Erligheim</t>
  </si>
  <si>
    <t>Freudental</t>
  </si>
  <si>
    <t>Gemmrigheim</t>
  </si>
  <si>
    <t>Gerlingen, Stadt</t>
  </si>
  <si>
    <t>Großbottwar, Stadt</t>
  </si>
  <si>
    <t>Hemmingen</t>
  </si>
  <si>
    <t>Hessigheim</t>
  </si>
  <si>
    <t>Kirchheim am Neckar</t>
  </si>
  <si>
    <t>Kornwestheim, Stadt</t>
  </si>
  <si>
    <t>Löchgau</t>
  </si>
  <si>
    <t>Ludwigsburg, Stadt</t>
  </si>
  <si>
    <t>Marbach am Neckar, Stadt</t>
  </si>
  <si>
    <t>Markgröningen, Stadt</t>
  </si>
  <si>
    <t>Möglingen</t>
  </si>
  <si>
    <t>Mundelsheim</t>
  </si>
  <si>
    <t>Murr</t>
  </si>
  <si>
    <t>Oberriexingen, Stadt</t>
  </si>
  <si>
    <t>Oberstenfeld</t>
  </si>
  <si>
    <t>Pleidelsheim</t>
  </si>
  <si>
    <t>Schwieberdingen</t>
  </si>
  <si>
    <t>Sersheim</t>
  </si>
  <si>
    <t>Steinheim an der Murr, Stadt</t>
  </si>
  <si>
    <t>Tamm</t>
  </si>
  <si>
    <t>Vaihingen an der Enz, Stadt</t>
  </si>
  <si>
    <t>Walheim</t>
  </si>
  <si>
    <t>Sachsenheim, Stadt</t>
  </si>
  <si>
    <t>Ingersheim</t>
  </si>
  <si>
    <t>Freiberg am Neckar, Stadt</t>
  </si>
  <si>
    <t>Bietigheim-Bissingen, Stadt</t>
  </si>
  <si>
    <t>Korntal-Münchingen, Stadt</t>
  </si>
  <si>
    <t>Remseck am Neckar, Stadt</t>
  </si>
  <si>
    <t>Alfdorf</t>
  </si>
  <si>
    <t>Rems-Murr-Kreis</t>
  </si>
  <si>
    <t>Allmersbach im Tal</t>
  </si>
  <si>
    <t>Althütte</t>
  </si>
  <si>
    <t>Auenwald</t>
  </si>
  <si>
    <t>Backnang, Stadt</t>
  </si>
  <si>
    <t>Burgstetten</t>
  </si>
  <si>
    <t>Fellbach, Stadt</t>
  </si>
  <si>
    <t>Großerlach</t>
  </si>
  <si>
    <t>Kaisersbach</t>
  </si>
  <si>
    <t>Kirchberg an der Murr</t>
  </si>
  <si>
    <t>Korb</t>
  </si>
  <si>
    <t>Leutenbach</t>
  </si>
  <si>
    <t>Murrhardt, Stadt</t>
  </si>
  <si>
    <t>Oppenweiler</t>
  </si>
  <si>
    <t>Plüderhausen</t>
  </si>
  <si>
    <t>Rudersberg</t>
  </si>
  <si>
    <t>Schorndorf, Stadt</t>
  </si>
  <si>
    <t>Schwaikheim</t>
  </si>
  <si>
    <t>Spiegelberg</t>
  </si>
  <si>
    <t>Sulzbach an der Murr</t>
  </si>
  <si>
    <t>Urbach</t>
  </si>
  <si>
    <t>Waiblingen, Stadt</t>
  </si>
  <si>
    <t>Weissach im Tal</t>
  </si>
  <si>
    <t>Welzheim, Stadt</t>
  </si>
  <si>
    <t>Winnenden, Stadt</t>
  </si>
  <si>
    <t>Winterbach</t>
  </si>
  <si>
    <t>Aspach</t>
  </si>
  <si>
    <t>Berglen</t>
  </si>
  <si>
    <t>Remshalden</t>
  </si>
  <si>
    <t>Weinstadt, Stadt</t>
  </si>
  <si>
    <t>Kernen im Remstal</t>
  </si>
  <si>
    <t>Heilbronn, Stadt</t>
  </si>
  <si>
    <t>Heilbronn/Stadt</t>
  </si>
  <si>
    <t>Abstatt</t>
  </si>
  <si>
    <t>Heilbronn</t>
  </si>
  <si>
    <t>Bad Friedrichshall, Stadt</t>
  </si>
  <si>
    <t>Bad Rappenau, Stadt</t>
  </si>
  <si>
    <t>Bad Wimpfen, Stadt</t>
  </si>
  <si>
    <t>Beilstein, Stadt</t>
  </si>
  <si>
    <t>Brackenheim, Stadt</t>
  </si>
  <si>
    <t>Cleebronn</t>
  </si>
  <si>
    <t>Eberstadt</t>
  </si>
  <si>
    <t>Ellhofen</t>
  </si>
  <si>
    <t>Eppingen, Stadt</t>
  </si>
  <si>
    <t>Erlenbach</t>
  </si>
  <si>
    <t>Flein</t>
  </si>
  <si>
    <t>Gemmingen</t>
  </si>
  <si>
    <t>Güglingen, Stadt</t>
  </si>
  <si>
    <t>Gundelsheim, Stadt</t>
  </si>
  <si>
    <t>Ilsfeld</t>
  </si>
  <si>
    <t>Ittlingen</t>
  </si>
  <si>
    <t>Jagsthausen</t>
  </si>
  <si>
    <t>Kirchardt</t>
  </si>
  <si>
    <t>Lauffen am Neckar, Stadt</t>
  </si>
  <si>
    <t>Lehrensteinsfeld</t>
  </si>
  <si>
    <t>Leingarten</t>
  </si>
  <si>
    <t>Löwenstein, Stadt</t>
  </si>
  <si>
    <t>Massenbachhausen</t>
  </si>
  <si>
    <t>Möckmühl, Stadt</t>
  </si>
  <si>
    <t>Neckarsulm, Stadt</t>
  </si>
  <si>
    <t>Neckarwestheim</t>
  </si>
  <si>
    <t>Neudenau, Stadt</t>
  </si>
  <si>
    <t>Neuenstadt am Kocher, Stadt</t>
  </si>
  <si>
    <t>Nordheim</t>
  </si>
  <si>
    <t>Oedheim</t>
  </si>
  <si>
    <t>Offenau</t>
  </si>
  <si>
    <t>Pfaffenhofen</t>
  </si>
  <si>
    <t>Roigheim</t>
  </si>
  <si>
    <t>Schwaigern, Stadt</t>
  </si>
  <si>
    <t>Siegelsbach</t>
  </si>
  <si>
    <t>Talheim</t>
  </si>
  <si>
    <t>Untereisesheim</t>
  </si>
  <si>
    <t>Untergruppenbach</t>
  </si>
  <si>
    <t>Weinsberg, Stadt</t>
  </si>
  <si>
    <t>Widdern, Stadt</t>
  </si>
  <si>
    <t>Wüstenrot</t>
  </si>
  <si>
    <t>Zaberfeld</t>
  </si>
  <si>
    <t>Obersulm</t>
  </si>
  <si>
    <t>Hardthausen am Kocher</t>
  </si>
  <si>
    <t>Langenbrettach</t>
  </si>
  <si>
    <t>Bretzfeld</t>
  </si>
  <si>
    <t>Hohenlohekreis</t>
  </si>
  <si>
    <t>Dörzbach</t>
  </si>
  <si>
    <t>Forchtenberg, Stadt</t>
  </si>
  <si>
    <t>Ingelfingen, Stadt</t>
  </si>
  <si>
    <t>Krautheim, Stadt</t>
  </si>
  <si>
    <t>Künzelsau, Stadt</t>
  </si>
  <si>
    <t>Kupferzell</t>
  </si>
  <si>
    <t>Mulfingen</t>
  </si>
  <si>
    <t>Neuenstein, Stadt</t>
  </si>
  <si>
    <t>Niedernhall, Stadt</t>
  </si>
  <si>
    <t>Öhringen, Stadt</t>
  </si>
  <si>
    <t>Pfedelbach</t>
  </si>
  <si>
    <t>Schöntal</t>
  </si>
  <si>
    <t>Waldenburg, Stadt</t>
  </si>
  <si>
    <t>Weißbach</t>
  </si>
  <si>
    <t>Zweiflingen</t>
  </si>
  <si>
    <t>Blaufelden</t>
  </si>
  <si>
    <t>Schwäbisch Hall</t>
  </si>
  <si>
    <t>Braunsbach</t>
  </si>
  <si>
    <t>Bühlertann</t>
  </si>
  <si>
    <t>Bühlerzell</t>
  </si>
  <si>
    <t>Crailsheim, Stadt</t>
  </si>
  <si>
    <t>Fichtenberg</t>
  </si>
  <si>
    <t>Gaildorf, Stadt</t>
  </si>
  <si>
    <t>Gerabronn, Stadt</t>
  </si>
  <si>
    <t>Ilshofen, Stadt</t>
  </si>
  <si>
    <t>Kirchberg an der Jagst, Stadt</t>
  </si>
  <si>
    <t>Langenburg, Stadt</t>
  </si>
  <si>
    <t>Mainhardt</t>
  </si>
  <si>
    <t>Michelbach an der Bilz</t>
  </si>
  <si>
    <t>Michelfeld</t>
  </si>
  <si>
    <t>Oberrot</t>
  </si>
  <si>
    <t>Obersontheim</t>
  </si>
  <si>
    <t>Rot am See</t>
  </si>
  <si>
    <t>Satteldorf</t>
  </si>
  <si>
    <t>Schrozberg, Stadt</t>
  </si>
  <si>
    <t>Schwäbisch Hall, Stadt</t>
  </si>
  <si>
    <t>Sulzbach-Laufen</t>
  </si>
  <si>
    <t>Untermünkheim</t>
  </si>
  <si>
    <t>Vellberg, Stadt</t>
  </si>
  <si>
    <t>Wallhausen</t>
  </si>
  <si>
    <t>Wolpertshausen</t>
  </si>
  <si>
    <t>Rosengarten</t>
  </si>
  <si>
    <t>Kreßberg</t>
  </si>
  <si>
    <t>Fichtenau</t>
  </si>
  <si>
    <t>Frankenhardt</t>
  </si>
  <si>
    <t>Stimpfach</t>
  </si>
  <si>
    <t>Assamstadt</t>
  </si>
  <si>
    <t>Main-Tauber-Kreis</t>
  </si>
  <si>
    <t>Bad Mergentheim, Stadt</t>
  </si>
  <si>
    <t>Boxberg, Stadt</t>
  </si>
  <si>
    <t>Creglingen, Stadt</t>
  </si>
  <si>
    <t>Freudenberg, Stadt</t>
  </si>
  <si>
    <t>Großrinderfeld</t>
  </si>
  <si>
    <t>Grünsfeld, Stadt</t>
  </si>
  <si>
    <t>Igersheim</t>
  </si>
  <si>
    <t>Königheim</t>
  </si>
  <si>
    <t>Külsheim, Stadt</t>
  </si>
  <si>
    <t>Niederstetten, Stadt</t>
  </si>
  <si>
    <t>Tauberbischofsheim, Stadt</t>
  </si>
  <si>
    <t>Weikersheim, Stadt</t>
  </si>
  <si>
    <t>Werbach</t>
  </si>
  <si>
    <t>Wertheim, Stadt</t>
  </si>
  <si>
    <t>Wittighausen</t>
  </si>
  <si>
    <t>Ahorn</t>
  </si>
  <si>
    <t>Lauda-Königshofen; Stadt</t>
  </si>
  <si>
    <t>Dischingen</t>
  </si>
  <si>
    <t>Heidenheim</t>
  </si>
  <si>
    <t>Gerstetten</t>
  </si>
  <si>
    <t>Giengen an der Brenz, Stadt</t>
  </si>
  <si>
    <t>Heidenheim an der Brenz, Stadt</t>
  </si>
  <si>
    <t>Herbrechtingen, Stadt</t>
  </si>
  <si>
    <t>Hermaringen</t>
  </si>
  <si>
    <t>Königsbronn</t>
  </si>
  <si>
    <t>Nattheim</t>
  </si>
  <si>
    <t>Niederstotzingen, Stadt</t>
  </si>
  <si>
    <t>Sontheim an der Brenz</t>
  </si>
  <si>
    <t>Steinheim am Albuch</t>
  </si>
  <si>
    <t>Abtsgmünd</t>
  </si>
  <si>
    <t>Ostalbkreis</t>
  </si>
  <si>
    <t>Adelmannsfelden</t>
  </si>
  <si>
    <t>Bartholomä</t>
  </si>
  <si>
    <t>Böbingen an der Rems</t>
  </si>
  <si>
    <t>Bopfingen, Stadt</t>
  </si>
  <si>
    <t>Durlangen</t>
  </si>
  <si>
    <t>Ellenberg</t>
  </si>
  <si>
    <t>Ellwangen (Jagst), Stadt</t>
  </si>
  <si>
    <t>Eschach</t>
  </si>
  <si>
    <t>Essingen</t>
  </si>
  <si>
    <t>Göggingen</t>
  </si>
  <si>
    <t>Gschwend</t>
  </si>
  <si>
    <t>Heubach, Stadt</t>
  </si>
  <si>
    <t>Heuchlingen</t>
  </si>
  <si>
    <t>Hüttlingen</t>
  </si>
  <si>
    <t>Iggingen</t>
  </si>
  <si>
    <t>Jagstzell</t>
  </si>
  <si>
    <t>Kirchheim am Ries</t>
  </si>
  <si>
    <t>Lauchheim, Stadt</t>
  </si>
  <si>
    <t>Leinzell</t>
  </si>
  <si>
    <t>Lorch, Stadt</t>
  </si>
  <si>
    <t>Mögglingen</t>
  </si>
  <si>
    <t>Mutlangen</t>
  </si>
  <si>
    <t>Neresheim, Stadt</t>
  </si>
  <si>
    <t>Neuler</t>
  </si>
  <si>
    <t>Obergröningen</t>
  </si>
  <si>
    <t>Oberkochen, Stadt</t>
  </si>
  <si>
    <t>Rosenberg</t>
  </si>
  <si>
    <t>Ruppertshofen</t>
  </si>
  <si>
    <t>Schechingen</t>
  </si>
  <si>
    <t>Schwäbisch Gmünd, Stadt</t>
  </si>
  <si>
    <t>Spraitbach</t>
  </si>
  <si>
    <t>Stödtlen</t>
  </si>
  <si>
    <t>Täferrot</t>
  </si>
  <si>
    <t>Tannhausen</t>
  </si>
  <si>
    <t>Unterschneidheim</t>
  </si>
  <si>
    <t>Waldstetten</t>
  </si>
  <si>
    <t>Westhausen</t>
  </si>
  <si>
    <t>Wört</t>
  </si>
  <si>
    <t>Riesbürg</t>
  </si>
  <si>
    <t>Aalen, Stadt</t>
  </si>
  <si>
    <t>Rainau</t>
  </si>
  <si>
    <t>Baden-Baden, Stadt</t>
  </si>
  <si>
    <t>Baden-Baden/Stadt</t>
  </si>
  <si>
    <t>Karlsruhe, Stadt</t>
  </si>
  <si>
    <t>Karlsruhe/Stadt</t>
  </si>
  <si>
    <t>Bretten, Stadt</t>
  </si>
  <si>
    <t>Karlsruhe</t>
  </si>
  <si>
    <t>Bruchsal, Stadt</t>
  </si>
  <si>
    <t>Ettlingen, Stadt</t>
  </si>
  <si>
    <t>Forst</t>
  </si>
  <si>
    <t>Gondelsheim</t>
  </si>
  <si>
    <t>Hambrücken</t>
  </si>
  <si>
    <t>Kronau</t>
  </si>
  <si>
    <t>Kürnbach</t>
  </si>
  <si>
    <t>Malsch</t>
  </si>
  <si>
    <t>Marxzell</t>
  </si>
  <si>
    <t>Oberderdingen</t>
  </si>
  <si>
    <t>Östringen, Stadt</t>
  </si>
  <si>
    <t>Philippsburg, Stadt</t>
  </si>
  <si>
    <t>Sulzfeld</t>
  </si>
  <si>
    <t>Ubstadt-Weiher</t>
  </si>
  <si>
    <t>Walzbachtal</t>
  </si>
  <si>
    <t>Weingarten (Baden)</t>
  </si>
  <si>
    <t>Zaisenhausen</t>
  </si>
  <si>
    <t>Karlsbad</t>
  </si>
  <si>
    <t>Kraichtal, Stadt</t>
  </si>
  <si>
    <t>Graben-Neudorf</t>
  </si>
  <si>
    <t>Bad Schönborn</t>
  </si>
  <si>
    <t>Pfinztal</t>
  </si>
  <si>
    <t>Eggenstein-Leopoldshafen</t>
  </si>
  <si>
    <t>Karlsdorf-Neuthard</t>
  </si>
  <si>
    <t>Linkenheim-Hochstetten</t>
  </si>
  <si>
    <t>Waghäusel, Stadt</t>
  </si>
  <si>
    <t>Oberhausen-Rheinhausen</t>
  </si>
  <si>
    <t>Rheinstetten, Stadt</t>
  </si>
  <si>
    <t>Stutensee, Stadt</t>
  </si>
  <si>
    <t>Waldbronn</t>
  </si>
  <si>
    <t>Dettenheim</t>
  </si>
  <si>
    <t>Au am Rhein</t>
  </si>
  <si>
    <t>Rastatt</t>
  </si>
  <si>
    <t>Bietigheim</t>
  </si>
  <si>
    <t>Bischweier</t>
  </si>
  <si>
    <t>Bühl, Stadt</t>
  </si>
  <si>
    <t>Bühlertal</t>
  </si>
  <si>
    <t>Durmersheim</t>
  </si>
  <si>
    <t>Elchesheim-Illingen</t>
  </si>
  <si>
    <t>Forbach</t>
  </si>
  <si>
    <t>Gaggenau, Stadt</t>
  </si>
  <si>
    <t>Gernsbach, Stadt</t>
  </si>
  <si>
    <t>Hügelsheim</t>
  </si>
  <si>
    <t>Iffezheim</t>
  </si>
  <si>
    <t>Kuppenheim, Stadt</t>
  </si>
  <si>
    <t>Lichtenau, Stadt</t>
  </si>
  <si>
    <t>Loffenau</t>
  </si>
  <si>
    <t>Muggensturm</t>
  </si>
  <si>
    <t>Ötigheim</t>
  </si>
  <si>
    <t>Ottersweier</t>
  </si>
  <si>
    <t>Rastatt, Stadt</t>
  </si>
  <si>
    <t>Sinzheim</t>
  </si>
  <si>
    <t>Steinmauern</t>
  </si>
  <si>
    <t>Weisenbach</t>
  </si>
  <si>
    <t>Rheinmünster</t>
  </si>
  <si>
    <t>Heidelberg, Stadt</t>
  </si>
  <si>
    <t>Heidelberg S</t>
  </si>
  <si>
    <t>Mannheim, Universitätsstadt</t>
  </si>
  <si>
    <t>Mannheim/Stadt</t>
  </si>
  <si>
    <t>Adelsheim, Stadt</t>
  </si>
  <si>
    <t>Neckar-Odenwald-Kreis</t>
  </si>
  <si>
    <t>Aglasterhausen</t>
  </si>
  <si>
    <t>Billigheim</t>
  </si>
  <si>
    <t>Binau</t>
  </si>
  <si>
    <t>Buchen (Odenwald), Stadt</t>
  </si>
  <si>
    <t>Fahrenbach</t>
  </si>
  <si>
    <t>Hardheim</t>
  </si>
  <si>
    <t>Haßmersheim</t>
  </si>
  <si>
    <t>Höpfingen</t>
  </si>
  <si>
    <t>Hüffenhardt</t>
  </si>
  <si>
    <t>Limbach</t>
  </si>
  <si>
    <t>Mosbach, Stadt</t>
  </si>
  <si>
    <t>Mudau</t>
  </si>
  <si>
    <t>Neckargerach</t>
  </si>
  <si>
    <t>Neckarzimmern</t>
  </si>
  <si>
    <t>Neunkirchen</t>
  </si>
  <si>
    <t>Obrigheim</t>
  </si>
  <si>
    <t>Osterburken, Stadt</t>
  </si>
  <si>
    <t>Seckach</t>
  </si>
  <si>
    <t>Walldürn, Stadt</t>
  </si>
  <si>
    <t>Zwingenberg</t>
  </si>
  <si>
    <t>Ravenstein, Stadt</t>
  </si>
  <si>
    <t>Schefflenz</t>
  </si>
  <si>
    <t>Schwarzach</t>
  </si>
  <si>
    <t>Elztal</t>
  </si>
  <si>
    <t>Waldbrunn</t>
  </si>
  <si>
    <t>Altlußheim</t>
  </si>
  <si>
    <t>Rhein-Neckar-Kreis</t>
  </si>
  <si>
    <t>Bammental</t>
  </si>
  <si>
    <t>Brühl</t>
  </si>
  <si>
    <t>Dielheim</t>
  </si>
  <si>
    <t>Dossenheim</t>
  </si>
  <si>
    <t>Eberbach, Stadt</t>
  </si>
  <si>
    <t>Epfenbach</t>
  </si>
  <si>
    <t>Eppelheim, Stadt</t>
  </si>
  <si>
    <t>Eschelbronn</t>
  </si>
  <si>
    <t>Gaiberg</t>
  </si>
  <si>
    <t>Heddesbach</t>
  </si>
  <si>
    <t>Heddesheim</t>
  </si>
  <si>
    <t>Heiligkreuzsteinach</t>
  </si>
  <si>
    <t>Hemsbach, Stadt</t>
  </si>
  <si>
    <t>Hockenheim, Stadt</t>
  </si>
  <si>
    <t>Ilvesheim</t>
  </si>
  <si>
    <t>Ketsch</t>
  </si>
  <si>
    <t>Ladenburg, Stadt</t>
  </si>
  <si>
    <t>Laudenbach</t>
  </si>
  <si>
    <t>Leimen, Stadt</t>
  </si>
  <si>
    <t>Mauer</t>
  </si>
  <si>
    <t>Meckesheim</t>
  </si>
  <si>
    <t>Mühlhausen</t>
  </si>
  <si>
    <t>Neckarbischofsheim, Stadt</t>
  </si>
  <si>
    <t>Neckargemünd, Stadt</t>
  </si>
  <si>
    <t>Neidenstein</t>
  </si>
  <si>
    <t>Neulußheim</t>
  </si>
  <si>
    <t>Nußloch</t>
  </si>
  <si>
    <t>Oftersheim</t>
  </si>
  <si>
    <t>Plankstadt</t>
  </si>
  <si>
    <t>Rauenberg, Stadt</t>
  </si>
  <si>
    <t>Reichartshausen</t>
  </si>
  <si>
    <t>Reilingen</t>
  </si>
  <si>
    <t>Sandhausen</t>
  </si>
  <si>
    <t>Schönau, Stadt</t>
  </si>
  <si>
    <t>Schönbrunn</t>
  </si>
  <si>
    <t>Schriesheim, Stadt</t>
  </si>
  <si>
    <t>Schwetzingen, Stadt</t>
  </si>
  <si>
    <t>Sinsheim, Stadt</t>
  </si>
  <si>
    <t>Spechbach</t>
  </si>
  <si>
    <t>Waibstadt, Stadt</t>
  </si>
  <si>
    <t>Walldorf, Stadt</t>
  </si>
  <si>
    <t>Weinheim, Stadt</t>
  </si>
  <si>
    <t>Wiesenbach</t>
  </si>
  <si>
    <t>Wiesloch, Stadt</t>
  </si>
  <si>
    <t>Wilhelmsfeld</t>
  </si>
  <si>
    <t>Zuzenhausen</t>
  </si>
  <si>
    <t>Angelbachtal</t>
  </si>
  <si>
    <t>St. Leon-Rot</t>
  </si>
  <si>
    <t>Lobbach</t>
  </si>
  <si>
    <t>Edingen-Neckarhausen</t>
  </si>
  <si>
    <t>Helmstadt-Bargen</t>
  </si>
  <si>
    <t>Hirschberg an der Bergstraße</t>
  </si>
  <si>
    <t>Pforzheim, Stadt</t>
  </si>
  <si>
    <t>Pforzheim/Stadt</t>
  </si>
  <si>
    <t>Altensteig, Stadt</t>
  </si>
  <si>
    <t>Calw</t>
  </si>
  <si>
    <t>Althengstett</t>
  </si>
  <si>
    <t>Bad Liebenzell, Stadt</t>
  </si>
  <si>
    <t>Dobel</t>
  </si>
  <si>
    <t>Ebhausen</t>
  </si>
  <si>
    <t>Egenhausen</t>
  </si>
  <si>
    <t>Enzklösterle</t>
  </si>
  <si>
    <t>Gechingen</t>
  </si>
  <si>
    <t>Haiterbach, Stadt</t>
  </si>
  <si>
    <t>Bad Herrenalb, Stadt</t>
  </si>
  <si>
    <t>Höfen an der Enz</t>
  </si>
  <si>
    <t>Nagold, Stadt</t>
  </si>
  <si>
    <t>Neubulach, Stadt</t>
  </si>
  <si>
    <t>Neuweiler</t>
  </si>
  <si>
    <t>Oberreichenbach</t>
  </si>
  <si>
    <t>Ostelsheim</t>
  </si>
  <si>
    <t>Rohrdorf</t>
  </si>
  <si>
    <t>Schömberg</t>
  </si>
  <si>
    <t>Simmersfeld</t>
  </si>
  <si>
    <t>Simmozheim</t>
  </si>
  <si>
    <t>Unterreichenbach</t>
  </si>
  <si>
    <t>Bad Wildbad, Stadt</t>
  </si>
  <si>
    <t>Wildberg, Stadt</t>
  </si>
  <si>
    <t>Bad Teinach-Zavelstein, Stadt</t>
  </si>
  <si>
    <t>Calw, Stadt</t>
  </si>
  <si>
    <t>Birkenfeld</t>
  </si>
  <si>
    <t>Enzkreis</t>
  </si>
  <si>
    <t>Eisingen</t>
  </si>
  <si>
    <t>Engelsbrand</t>
  </si>
  <si>
    <t>Friolzheim</t>
  </si>
  <si>
    <t>Heimsheim, Stadt</t>
  </si>
  <si>
    <t>Illingen</t>
  </si>
  <si>
    <t>Ispringen</t>
  </si>
  <si>
    <t>Kieselbronn</t>
  </si>
  <si>
    <t>Knittlingen, Stadt</t>
  </si>
  <si>
    <t>Maulbronn, Stadt</t>
  </si>
  <si>
    <t>Mönsheim</t>
  </si>
  <si>
    <t>Mühlacker, Stadt</t>
  </si>
  <si>
    <t>Neuenbürg, Stadt</t>
  </si>
  <si>
    <t>Neuhausen</t>
  </si>
  <si>
    <t>Niefern-Öschelbronn</t>
  </si>
  <si>
    <t>Ötisheim</t>
  </si>
  <si>
    <t>Sternenfels</t>
  </si>
  <si>
    <t>Tiefenbronn</t>
  </si>
  <si>
    <t>Wiernsheim</t>
  </si>
  <si>
    <t>Wimsheim</t>
  </si>
  <si>
    <t>Wurmberg</t>
  </si>
  <si>
    <t>Keltern</t>
  </si>
  <si>
    <t>Remchingen</t>
  </si>
  <si>
    <t>Straubenhardt</t>
  </si>
  <si>
    <t>Neulingen</t>
  </si>
  <si>
    <t>Kämpfelbach</t>
  </si>
  <si>
    <t>Ölbronn-Dürrn</t>
  </si>
  <si>
    <t>Königsbach-Stein</t>
  </si>
  <si>
    <t>Alpirsbach, Stadt</t>
  </si>
  <si>
    <t>Freudenstadt</t>
  </si>
  <si>
    <t>Baiersbronn</t>
  </si>
  <si>
    <t>Dornstetten, Stadt</t>
  </si>
  <si>
    <t>Empfingen</t>
  </si>
  <si>
    <t>Eutingen im Gäu</t>
  </si>
  <si>
    <t>Freudenstadt, Stadt</t>
  </si>
  <si>
    <t>Glatten</t>
  </si>
  <si>
    <t>Grömbach</t>
  </si>
  <si>
    <t>Horb am Neckar, Stadt</t>
  </si>
  <si>
    <t>Loßburg</t>
  </si>
  <si>
    <t>Pfalzgrafenweiler</t>
  </si>
  <si>
    <t>Schopfloch</t>
  </si>
  <si>
    <t>Wörnersberg</t>
  </si>
  <si>
    <t>Seewald</t>
  </si>
  <si>
    <t>Waldachtal</t>
  </si>
  <si>
    <t>Bad Rippoldsau-Schapbach</t>
  </si>
  <si>
    <t>Freiburg im Breisgau, Stadt</t>
  </si>
  <si>
    <t>Freiburg S</t>
  </si>
  <si>
    <t>Au</t>
  </si>
  <si>
    <t>Breisg.-Hochschwarzwald</t>
  </si>
  <si>
    <t>Auggen</t>
  </si>
  <si>
    <t>Bad Krozingen, Stadt</t>
  </si>
  <si>
    <t>Badenweiler</t>
  </si>
  <si>
    <t>Ballrechten-Dottingen</t>
  </si>
  <si>
    <t>Bötzingen</t>
  </si>
  <si>
    <t>Bollschweil</t>
  </si>
  <si>
    <t>Breisach am Rhein, Stadt</t>
  </si>
  <si>
    <t>Breitnau</t>
  </si>
  <si>
    <t>Buchenbach</t>
  </si>
  <si>
    <t>Buggingen</t>
  </si>
  <si>
    <t>Ebringen</t>
  </si>
  <si>
    <t>Eichstetten am Kaiserstuhl</t>
  </si>
  <si>
    <t>Eisenbach (Hochschwarzwald)</t>
  </si>
  <si>
    <t>Eschbach</t>
  </si>
  <si>
    <t>Feldberg (Schwarzwald)</t>
  </si>
  <si>
    <t>Friedenweiler</t>
  </si>
  <si>
    <t>Glottertal</t>
  </si>
  <si>
    <t>Gottenheim</t>
  </si>
  <si>
    <t>Gundelfingen</t>
  </si>
  <si>
    <t>Hartheim</t>
  </si>
  <si>
    <t>Heitersheim, Stadt</t>
  </si>
  <si>
    <t>Heuweiler</t>
  </si>
  <si>
    <t>Hinterzarten</t>
  </si>
  <si>
    <t>Horben</t>
  </si>
  <si>
    <t>Ihringen</t>
  </si>
  <si>
    <t>Kirchzarten</t>
  </si>
  <si>
    <t>Lenzkirch</t>
  </si>
  <si>
    <t>Löffingen, Stadt</t>
  </si>
  <si>
    <t>Merdingen</t>
  </si>
  <si>
    <t>Merzhausen</t>
  </si>
  <si>
    <t>Müllheim, Stadt</t>
  </si>
  <si>
    <t>Neuenburg am Rhein, Stadt</t>
  </si>
  <si>
    <t>Oberried</t>
  </si>
  <si>
    <t>Pfaffenweiler</t>
  </si>
  <si>
    <t>St. Märgen</t>
  </si>
  <si>
    <t>St. Peter</t>
  </si>
  <si>
    <t>Schallstadt</t>
  </si>
  <si>
    <t>Schluchsee</t>
  </si>
  <si>
    <t>Sölden</t>
  </si>
  <si>
    <t>Staufen im Breisgau, Stadt</t>
  </si>
  <si>
    <t>Stegen</t>
  </si>
  <si>
    <t>Sulzburg, Stadt</t>
  </si>
  <si>
    <t>Titisee-Neustadt, Stadt</t>
  </si>
  <si>
    <t>Umkirch</t>
  </si>
  <si>
    <t>Wittnau</t>
  </si>
  <si>
    <t>Münstertal/Schwarzwald</t>
  </si>
  <si>
    <t>Ehrenkirchen</t>
  </si>
  <si>
    <t>March</t>
  </si>
  <si>
    <t>Vogtsburg im Kaiserstuhl, Stadt</t>
  </si>
  <si>
    <t>Bahlingen am Kaiserstuhl</t>
  </si>
  <si>
    <t>Emmendingen</t>
  </si>
  <si>
    <t>Biederbach</t>
  </si>
  <si>
    <t>Denzlingen</t>
  </si>
  <si>
    <t>Elzach, Stadt</t>
  </si>
  <si>
    <t>Emmendingen, Stadt</t>
  </si>
  <si>
    <t>Endingen am Kaiserstuhl, Stadt</t>
  </si>
  <si>
    <t>Forchheim</t>
  </si>
  <si>
    <t>Gutach im Breisgau</t>
  </si>
  <si>
    <t>Herbolzheim, Stadt</t>
  </si>
  <si>
    <t>Kenzingen, Stadt</t>
  </si>
  <si>
    <t>Malterdingen</t>
  </si>
  <si>
    <t>Reute</t>
  </si>
  <si>
    <t>Riegel am Kaiserstuhl</t>
  </si>
  <si>
    <t>Sasbach am Kaiserstuhl</t>
  </si>
  <si>
    <t>Sexau</t>
  </si>
  <si>
    <t>Simonswald</t>
  </si>
  <si>
    <t>Teningen</t>
  </si>
  <si>
    <t>Vörstetten</t>
  </si>
  <si>
    <t>Weisweil</t>
  </si>
  <si>
    <t>Wyhl am Kaiserstuhl</t>
  </si>
  <si>
    <t>Rheinhausen</t>
  </si>
  <si>
    <t>Freiamt</t>
  </si>
  <si>
    <t>Winden im Elztal</t>
  </si>
  <si>
    <t>Waldkirch, Stadt</t>
  </si>
  <si>
    <t>Achern, Stadt</t>
  </si>
  <si>
    <t>Ortenaukreis</t>
  </si>
  <si>
    <t>Appenweier</t>
  </si>
  <si>
    <t>Bad Peterstal-Griesbach</t>
  </si>
  <si>
    <t>Berghaupten</t>
  </si>
  <si>
    <t>Biberach</t>
  </si>
  <si>
    <t>Durbach</t>
  </si>
  <si>
    <t>Ettenheim, Stadt</t>
  </si>
  <si>
    <t>Fischerbach</t>
  </si>
  <si>
    <t>Friesenheim</t>
  </si>
  <si>
    <t>Gengenbach, Stadt</t>
  </si>
  <si>
    <t>Gutach (Schwarzwaldbahn)</t>
  </si>
  <si>
    <t>Haslach im Kinzigtal, Stadt</t>
  </si>
  <si>
    <t>Hausach, Stadt</t>
  </si>
  <si>
    <t>Hofstetten</t>
  </si>
  <si>
    <t>Hohberg</t>
  </si>
  <si>
    <t>Hornberg, Stadt</t>
  </si>
  <si>
    <t>Kappelrodeck</t>
  </si>
  <si>
    <t>Kehl, Stadt</t>
  </si>
  <si>
    <t>Kippenheim</t>
  </si>
  <si>
    <t>Lahr/Schwarzwald, Stadt</t>
  </si>
  <si>
    <t>Lautenbach</t>
  </si>
  <si>
    <t>Lauf</t>
  </si>
  <si>
    <t>Mahlberg, Stadt</t>
  </si>
  <si>
    <t>Meißenheim</t>
  </si>
  <si>
    <t>Mühlenbach</t>
  </si>
  <si>
    <t>Nordrach</t>
  </si>
  <si>
    <t>Oberharmersbach</t>
  </si>
  <si>
    <t>Oberkirch, Stadt</t>
  </si>
  <si>
    <t>Oberwolfach</t>
  </si>
  <si>
    <t>Offenburg, Stadt</t>
  </si>
  <si>
    <t>Ohlsbach</t>
  </si>
  <si>
    <t>Oppenau, Stadt</t>
  </si>
  <si>
    <t>Ortenberg</t>
  </si>
  <si>
    <t>Ottenhöfen im Schwarzwald</t>
  </si>
  <si>
    <t>Renchen, Stadt</t>
  </si>
  <si>
    <t>Ringsheim</t>
  </si>
  <si>
    <t>Rust</t>
  </si>
  <si>
    <t>Sasbach</t>
  </si>
  <si>
    <t>Sasbachwalden</t>
  </si>
  <si>
    <t>Schuttertal</t>
  </si>
  <si>
    <t>Schutterwald</t>
  </si>
  <si>
    <t>Seebach</t>
  </si>
  <si>
    <t>Seelbach</t>
  </si>
  <si>
    <t>Steinach</t>
  </si>
  <si>
    <t>Willstätt</t>
  </si>
  <si>
    <t>Wolfach, Stadt</t>
  </si>
  <si>
    <t>Zell am Harmersbach, Stadt</t>
  </si>
  <si>
    <t>Schwanau</t>
  </si>
  <si>
    <t>Neuried</t>
  </si>
  <si>
    <t>Kappel-Grafenhausen</t>
  </si>
  <si>
    <t>Rheinau, Stadt</t>
  </si>
  <si>
    <t>Rhinau</t>
  </si>
  <si>
    <t>Aichhalden</t>
  </si>
  <si>
    <t>Rottweil</t>
  </si>
  <si>
    <t>Bösingen</t>
  </si>
  <si>
    <t>Dietingen</t>
  </si>
  <si>
    <t>Dornhan, Stadt</t>
  </si>
  <si>
    <t>Dunningen</t>
  </si>
  <si>
    <t>Epfendorf</t>
  </si>
  <si>
    <t>Hardt</t>
  </si>
  <si>
    <t>Lauterbach</t>
  </si>
  <si>
    <t>Oberndorf am Neckar, Stadt</t>
  </si>
  <si>
    <t>Rottweil, Stadt</t>
  </si>
  <si>
    <t>Schenkenzell</t>
  </si>
  <si>
    <t>Schiltach, Stadt</t>
  </si>
  <si>
    <t>Schramberg, Stadt</t>
  </si>
  <si>
    <t>Sulz am Neckar, Stadt</t>
  </si>
  <si>
    <t>Villingendorf</t>
  </si>
  <si>
    <t>Vöhringen</t>
  </si>
  <si>
    <t>Wellendingen</t>
  </si>
  <si>
    <t>Zimmern ob Rottweil</t>
  </si>
  <si>
    <t>Fluorn-Winzeln</t>
  </si>
  <si>
    <t>Eschbronn</t>
  </si>
  <si>
    <t>Deißlingen</t>
  </si>
  <si>
    <t>Bad Dürrheim, Stadt</t>
  </si>
  <si>
    <t>Schwarzwald-Baar-Kreis</t>
  </si>
  <si>
    <t>Blumberg, Stadt</t>
  </si>
  <si>
    <t>Bräunlingen, Stadt</t>
  </si>
  <si>
    <t>Dauchingen</t>
  </si>
  <si>
    <t>Donaueschingen, Stadt</t>
  </si>
  <si>
    <t>Furtwangen im Schwarzwald, Stadt</t>
  </si>
  <si>
    <t>Gütenbach</t>
  </si>
  <si>
    <t>Hüfingen, Stadt</t>
  </si>
  <si>
    <t>Königsfeld im Schwarzwald</t>
  </si>
  <si>
    <t>Mönchweiler</t>
  </si>
  <si>
    <t>Niedereschach</t>
  </si>
  <si>
    <t>St. Georgen im Schwarzwald, Stadt</t>
  </si>
  <si>
    <t>Schönwald im Schwarzwald</t>
  </si>
  <si>
    <t>Schonach im Schwarzwald</t>
  </si>
  <si>
    <t>Triberg im Schwarzwald, Stadt</t>
  </si>
  <si>
    <t>Tuningen</t>
  </si>
  <si>
    <t>Unterkirnach</t>
  </si>
  <si>
    <t>Vöhrenbach, Stadt</t>
  </si>
  <si>
    <t>Villingen-Schwenningen, Stadt</t>
  </si>
  <si>
    <t>Brigachtal</t>
  </si>
  <si>
    <t>Aldingen</t>
  </si>
  <si>
    <t>Tuttlingen</t>
  </si>
  <si>
    <t>Bärenthal</t>
  </si>
  <si>
    <t>Balgheim</t>
  </si>
  <si>
    <t>Böttingen</t>
  </si>
  <si>
    <t>Bubsheim</t>
  </si>
  <si>
    <t>Buchheim</t>
  </si>
  <si>
    <t>Deilingen</t>
  </si>
  <si>
    <t>Denkingen</t>
  </si>
  <si>
    <t>Dürbheim</t>
  </si>
  <si>
    <t>Durchhausen</t>
  </si>
  <si>
    <t>Egesheim</t>
  </si>
  <si>
    <t>Fridingen an der Donau, Stadt</t>
  </si>
  <si>
    <t>Frittlingen</t>
  </si>
  <si>
    <t>Geisingen, Stadt</t>
  </si>
  <si>
    <t>Gosheim</t>
  </si>
  <si>
    <t>Gunningen</t>
  </si>
  <si>
    <t>Hausen ob Verena</t>
  </si>
  <si>
    <t>Immendingen</t>
  </si>
  <si>
    <t>Irndorf</t>
  </si>
  <si>
    <t>Königsheim</t>
  </si>
  <si>
    <t>Kolbingen</t>
  </si>
  <si>
    <t>Mahlstetten</t>
  </si>
  <si>
    <t>Mühlheim an der Donau, Stadt</t>
  </si>
  <si>
    <t>Neuhausen ob Eck</t>
  </si>
  <si>
    <t>Reichenbach am Heuberg</t>
  </si>
  <si>
    <t>Renquishausen</t>
  </si>
  <si>
    <t>Spaichingen, Stadt</t>
  </si>
  <si>
    <t>Trossingen, Stadt</t>
  </si>
  <si>
    <t>Tuttlingen, Stadt</t>
  </si>
  <si>
    <t>Wehingen</t>
  </si>
  <si>
    <t>Wurmlingen</t>
  </si>
  <si>
    <t>Seitingen-Oberflacht</t>
  </si>
  <si>
    <t>Rietheim-Weilheim</t>
  </si>
  <si>
    <t>Emmingen-Liptingen</t>
  </si>
  <si>
    <t>Aach, Stadt</t>
  </si>
  <si>
    <t>Konstanz</t>
  </si>
  <si>
    <t>Allensbach</t>
  </si>
  <si>
    <t>Büsingen am Hochrhein</t>
  </si>
  <si>
    <t>Eigeltingen</t>
  </si>
  <si>
    <t>Engen, Stadt</t>
  </si>
  <si>
    <t>Gaienhofen</t>
  </si>
  <si>
    <t>Gailingen am Hochrhein</t>
  </si>
  <si>
    <t>Gottmadingen</t>
  </si>
  <si>
    <t>Hilzingen</t>
  </si>
  <si>
    <t>Konstanz, Universitätsstadt</t>
  </si>
  <si>
    <t>Moos</t>
  </si>
  <si>
    <t>Mühlingen</t>
  </si>
  <si>
    <t>Öhningen</t>
  </si>
  <si>
    <t>Radolfzell am Bodensee, Stadt</t>
  </si>
  <si>
    <t>Reichenau</t>
  </si>
  <si>
    <t>Singen (Hohentwiel), Stadt</t>
  </si>
  <si>
    <t>Steißlingen</t>
  </si>
  <si>
    <t>Stockach, Stadt</t>
  </si>
  <si>
    <t>Tengen, Stadt</t>
  </si>
  <si>
    <t>Volkertshausen</t>
  </si>
  <si>
    <t>Hohenfels</t>
  </si>
  <si>
    <t>Mühlhausen-Ehingen</t>
  </si>
  <si>
    <t>Bodman-Ludwigshafen</t>
  </si>
  <si>
    <t>Orsingen-Nenzingen</t>
  </si>
  <si>
    <t>Rielasingen-Worblingen</t>
  </si>
  <si>
    <t>Aitern</t>
  </si>
  <si>
    <t>Lörrach</t>
  </si>
  <si>
    <t>Bad Bellingen</t>
  </si>
  <si>
    <t>Binzen</t>
  </si>
  <si>
    <t>Böllen</t>
  </si>
  <si>
    <t>Efringen-Kirchen</t>
  </si>
  <si>
    <t>Eimeldingen</t>
  </si>
  <si>
    <t>Fischingen</t>
  </si>
  <si>
    <t>Fröhnd</t>
  </si>
  <si>
    <t>Hasel</t>
  </si>
  <si>
    <t>Hausen im Wiesental</t>
  </si>
  <si>
    <t>Inzlingen</t>
  </si>
  <si>
    <t>Kandern, Stadt</t>
  </si>
  <si>
    <t>Lörrach, Stadt</t>
  </si>
  <si>
    <t>Maulburg</t>
  </si>
  <si>
    <t>Rheinfelden (Baden), Stadt</t>
  </si>
  <si>
    <t>Rümmingen</t>
  </si>
  <si>
    <t>Schallbach</t>
  </si>
  <si>
    <t>Schliengen</t>
  </si>
  <si>
    <t>Schönau im Schwarzwald, Stadt</t>
  </si>
  <si>
    <t>Schönenberg</t>
  </si>
  <si>
    <t>Schopfheim, Stadt</t>
  </si>
  <si>
    <t>Schwörstadt</t>
  </si>
  <si>
    <t>Steinen</t>
  </si>
  <si>
    <t>Todtnau, Stadt</t>
  </si>
  <si>
    <t>Tunau</t>
  </si>
  <si>
    <t>Utzenfeld</t>
  </si>
  <si>
    <t>Weil am Rhein, Stadt</t>
  </si>
  <si>
    <t>Wembach</t>
  </si>
  <si>
    <t>Wieden</t>
  </si>
  <si>
    <t>Wittlingen</t>
  </si>
  <si>
    <t>Zell im Wiesental, Stadt</t>
  </si>
  <si>
    <t>Malsburg-Marzell</t>
  </si>
  <si>
    <t>Grenzach-Wyhlen</t>
  </si>
  <si>
    <t>Häg-Ehrsberg</t>
  </si>
  <si>
    <t>Kleines Wiesental</t>
  </si>
  <si>
    <t>Albbruck</t>
  </si>
  <si>
    <t>Waldshut</t>
  </si>
  <si>
    <t>Bernau im Schwarzwald</t>
  </si>
  <si>
    <t>Bonndorf im Schwarzwald, Stadt</t>
  </si>
  <si>
    <t>Dachsberg (Südschwarzwald)</t>
  </si>
  <si>
    <t>Dettighofen</t>
  </si>
  <si>
    <t>Dogern</t>
  </si>
  <si>
    <t>Görwihl</t>
  </si>
  <si>
    <t>Grafenhausen</t>
  </si>
  <si>
    <t>Häusern</t>
  </si>
  <si>
    <t>Herrischried</t>
  </si>
  <si>
    <t>Höchenschwand</t>
  </si>
  <si>
    <t>Hohentengen am Hochrhein</t>
  </si>
  <si>
    <t>Ibach</t>
  </si>
  <si>
    <t>Jestetten</t>
  </si>
  <si>
    <t>Klettgau</t>
  </si>
  <si>
    <t>Lauchringen</t>
  </si>
  <si>
    <t>Laufenburg (Baden), Stadt</t>
  </si>
  <si>
    <t>Lottstetten</t>
  </si>
  <si>
    <t>Murg</t>
  </si>
  <si>
    <t>Rickenbach</t>
  </si>
  <si>
    <t>Bad Säckingen, Stadt</t>
  </si>
  <si>
    <t>St. Blasien, Stadt</t>
  </si>
  <si>
    <t>Stühlingen, Stadt</t>
  </si>
  <si>
    <t>Todtmoos</t>
  </si>
  <si>
    <t>Wehr, Stadt</t>
  </si>
  <si>
    <t>Weilheim</t>
  </si>
  <si>
    <t>Wutöschingen</t>
  </si>
  <si>
    <t>Eggingen</t>
  </si>
  <si>
    <t>Küssaberg</t>
  </si>
  <si>
    <t>Waldshut-Tiengen, Stadt</t>
  </si>
  <si>
    <t>Wutach</t>
  </si>
  <si>
    <t>Ühlingen-Birkendorf</t>
  </si>
  <si>
    <t>Dettingen an der Erms</t>
  </si>
  <si>
    <t>Reutlingen</t>
  </si>
  <si>
    <t>Eningen unter Achalm</t>
  </si>
  <si>
    <t>Gomadingen</t>
  </si>
  <si>
    <t>Grabenstetten</t>
  </si>
  <si>
    <t>Grafenberg</t>
  </si>
  <si>
    <t>Hayingen, Stadt</t>
  </si>
  <si>
    <t>Hülben</t>
  </si>
  <si>
    <t>Mehrstetten</t>
  </si>
  <si>
    <t>Metzingen, Stadt</t>
  </si>
  <si>
    <t>Münsingen, Stadt</t>
  </si>
  <si>
    <t>Pfronstetten</t>
  </si>
  <si>
    <t>Pfullingen, Stadt</t>
  </si>
  <si>
    <t>Pliezhausen</t>
  </si>
  <si>
    <t>Reutlingen, Stadt</t>
  </si>
  <si>
    <t>Riederich</t>
  </si>
  <si>
    <t>Trochtelfingen, Stadt</t>
  </si>
  <si>
    <t>Bad Urach, Stadt</t>
  </si>
  <si>
    <t>Wannweil</t>
  </si>
  <si>
    <t>Zwiefalten</t>
  </si>
  <si>
    <t>Gutsbezirk Münsingen</t>
  </si>
  <si>
    <t>Walddorfhäslach</t>
  </si>
  <si>
    <t>Römerstein</t>
  </si>
  <si>
    <t>Engstingen</t>
  </si>
  <si>
    <t>Hohenstein</t>
  </si>
  <si>
    <t>Sonnenbühl</t>
  </si>
  <si>
    <t>Lichtenstein</t>
  </si>
  <si>
    <t>St. Johann</t>
  </si>
  <si>
    <t>Bodelshausen</t>
  </si>
  <si>
    <t>Tübingen</t>
  </si>
  <si>
    <t>Dettenhausen</t>
  </si>
  <si>
    <t>Dußlingen</t>
  </si>
  <si>
    <t>Gomaringen</t>
  </si>
  <si>
    <t>Hirrlingen</t>
  </si>
  <si>
    <t>Kirchentellinsfurt</t>
  </si>
  <si>
    <t>Kusterdingen</t>
  </si>
  <si>
    <t>Mössingen, Stadt</t>
  </si>
  <si>
    <t>Nehren</t>
  </si>
  <si>
    <t>Ofterdingen</t>
  </si>
  <si>
    <t>Rottenburg am Neckar, Stadt</t>
  </si>
  <si>
    <t>Tübingen, Universitätsstadt</t>
  </si>
  <si>
    <t>Ammerbuch</t>
  </si>
  <si>
    <t>Neustetten</t>
  </si>
  <si>
    <t>Starzach</t>
  </si>
  <si>
    <t>Balingen, Stadt</t>
  </si>
  <si>
    <t>Zollernalbkreis</t>
  </si>
  <si>
    <t>Bisingen</t>
  </si>
  <si>
    <t>Bitz</t>
  </si>
  <si>
    <t>Burladingen, Stadt</t>
  </si>
  <si>
    <t>Dautmergen</t>
  </si>
  <si>
    <t>Dormettingen</t>
  </si>
  <si>
    <t>Dotternhausen</t>
  </si>
  <si>
    <t>Geislingen, Stadt</t>
  </si>
  <si>
    <t>Grosselfingen</t>
  </si>
  <si>
    <t>Haigerloch, Stadt</t>
  </si>
  <si>
    <t>Hausen am Tann</t>
  </si>
  <si>
    <t>Hechingen, Stadt</t>
  </si>
  <si>
    <t>Jungingen</t>
  </si>
  <si>
    <t>Meßstetten, Stadt</t>
  </si>
  <si>
    <t>Nusplingen</t>
  </si>
  <si>
    <t>Obernheim</t>
  </si>
  <si>
    <t>Rangendingen</t>
  </si>
  <si>
    <t>Ratshausen</t>
  </si>
  <si>
    <t>Rosenfeld, Stadt</t>
  </si>
  <si>
    <t>Schömberg, Stadt</t>
  </si>
  <si>
    <t>Straßberg</t>
  </si>
  <si>
    <t>Weilen unter den Rinnen</t>
  </si>
  <si>
    <t>Winterlingen</t>
  </si>
  <si>
    <t>Zimmern unter der Burg</t>
  </si>
  <si>
    <t>Albstadt, Stadt</t>
  </si>
  <si>
    <t>Ulm, Universitätsstadt</t>
  </si>
  <si>
    <t>Ulm/Stadt</t>
  </si>
  <si>
    <t>Allmendingen</t>
  </si>
  <si>
    <t>Alb-Donau-Kreis</t>
  </si>
  <si>
    <t>Altheim</t>
  </si>
  <si>
    <t>Altheim (Alb)</t>
  </si>
  <si>
    <t>Amstetten</t>
  </si>
  <si>
    <t>Asselfingen</t>
  </si>
  <si>
    <t>Ballendorf</t>
  </si>
  <si>
    <t>Beimerstetten</t>
  </si>
  <si>
    <t>Berghülen</t>
  </si>
  <si>
    <t>Bernstadt</t>
  </si>
  <si>
    <t>Blaubeuren, Stadt</t>
  </si>
  <si>
    <t>Börslingen</t>
  </si>
  <si>
    <t>Breitingen</t>
  </si>
  <si>
    <t>Dietenheim, Stadt</t>
  </si>
  <si>
    <t>Dornstadt</t>
  </si>
  <si>
    <t>Ehingen (Donau), Stadt</t>
  </si>
  <si>
    <t>Emeringen</t>
  </si>
  <si>
    <t>Emerkingen</t>
  </si>
  <si>
    <t>Erbach, Stadt</t>
  </si>
  <si>
    <t>Griesingen</t>
  </si>
  <si>
    <t>Grundsheim</t>
  </si>
  <si>
    <t>Hausen am Bussen</t>
  </si>
  <si>
    <t>Holzkirch</t>
  </si>
  <si>
    <t>Hüttisheim</t>
  </si>
  <si>
    <t>Illerrieden</t>
  </si>
  <si>
    <t>Laichingen, Stadt</t>
  </si>
  <si>
    <t>Langenau, Stadt</t>
  </si>
  <si>
    <t>Lauterach</t>
  </si>
  <si>
    <t>Lonsee</t>
  </si>
  <si>
    <t>Merklingen</t>
  </si>
  <si>
    <t>Munderkingen, Stadt</t>
  </si>
  <si>
    <t>Neenstetten</t>
  </si>
  <si>
    <t>Nellingen</t>
  </si>
  <si>
    <t>Nerenstetten</t>
  </si>
  <si>
    <t>Oberdischingen</t>
  </si>
  <si>
    <t>Obermarchtal</t>
  </si>
  <si>
    <t>Oberstadion</t>
  </si>
  <si>
    <t>Öllingen</t>
  </si>
  <si>
    <t>Öpfingen</t>
  </si>
  <si>
    <t>Rammingen</t>
  </si>
  <si>
    <t>Rechtenstein</t>
  </si>
  <si>
    <t>Rottenacker</t>
  </si>
  <si>
    <t>Schelklingen, Stadt</t>
  </si>
  <si>
    <t>Schnürpflingen</t>
  </si>
  <si>
    <t>Setzingen</t>
  </si>
  <si>
    <t>Untermarchtal</t>
  </si>
  <si>
    <t>Unterstadion</t>
  </si>
  <si>
    <t>Unterwachingen</t>
  </si>
  <si>
    <t>Weidenstetten</t>
  </si>
  <si>
    <t>Westerheim</t>
  </si>
  <si>
    <t>Westerstetten</t>
  </si>
  <si>
    <t>Illerkirchberg</t>
  </si>
  <si>
    <t>Staig</t>
  </si>
  <si>
    <t>Heroldstatt</t>
  </si>
  <si>
    <t>Balzheim</t>
  </si>
  <si>
    <t>Blaustein</t>
  </si>
  <si>
    <t>Achstetten</t>
  </si>
  <si>
    <t>Alleshausen</t>
  </si>
  <si>
    <t>Allmannsweiler</t>
  </si>
  <si>
    <t>Attenweiler</t>
  </si>
  <si>
    <t>Bad Buchau, Stadt</t>
  </si>
  <si>
    <t>Bad Schussenried, Stadt</t>
  </si>
  <si>
    <t>Berkheim</t>
  </si>
  <si>
    <t>Betzenweiler</t>
  </si>
  <si>
    <t>Biberach an der Riß, Stadt</t>
  </si>
  <si>
    <t>Burgrieden</t>
  </si>
  <si>
    <t>Dettingen an der Iller</t>
  </si>
  <si>
    <t>Dürmentingen</t>
  </si>
  <si>
    <t>Eberhardzell</t>
  </si>
  <si>
    <t>Erlenmoos</t>
  </si>
  <si>
    <t>Erolzheim</t>
  </si>
  <si>
    <t>Ertingen</t>
  </si>
  <si>
    <t>Ingoldingen</t>
  </si>
  <si>
    <t>Kanzach</t>
  </si>
  <si>
    <t>Kirchberg an der Iller</t>
  </si>
  <si>
    <t>Kirchdorf an der Iller</t>
  </si>
  <si>
    <t>Langenenslingen</t>
  </si>
  <si>
    <t>Laupheim, Stadt</t>
  </si>
  <si>
    <t>Maselheim</t>
  </si>
  <si>
    <t>Mietingen</t>
  </si>
  <si>
    <t>Mittelbiberach</t>
  </si>
  <si>
    <t>Moosburg</t>
  </si>
  <si>
    <t>Ochsenhausen, Stadt</t>
  </si>
  <si>
    <t>Oggelshausen</t>
  </si>
  <si>
    <t>Riedlingen, Stadt</t>
  </si>
  <si>
    <t>Rot an der Rot</t>
  </si>
  <si>
    <t>Schwendi</t>
  </si>
  <si>
    <t>Seekirch</t>
  </si>
  <si>
    <t>Steinhausen an der Rottum</t>
  </si>
  <si>
    <t>Tannheim</t>
  </si>
  <si>
    <t>Tiefenbach</t>
  </si>
  <si>
    <t>Ummendorf</t>
  </si>
  <si>
    <t>Unlingen</t>
  </si>
  <si>
    <t>Uttenweiler</t>
  </si>
  <si>
    <t>Wain</t>
  </si>
  <si>
    <t>Warthausen</t>
  </si>
  <si>
    <t>Schemmerhofen</t>
  </si>
  <si>
    <t>Gutenzell-Hürbel</t>
  </si>
  <si>
    <t>Bermatingen</t>
  </si>
  <si>
    <t>Bodenseekreis</t>
  </si>
  <si>
    <t>Daisendorf</t>
  </si>
  <si>
    <t>Eriskirch</t>
  </si>
  <si>
    <t>Frickingen</t>
  </si>
  <si>
    <t>Friedrichshafen, Stadt</t>
  </si>
  <si>
    <t>Hagnau am Bodensee</t>
  </si>
  <si>
    <t>Heiligenberg</t>
  </si>
  <si>
    <t>Immenstaad am Bodensee</t>
  </si>
  <si>
    <t>Kressbronn am Bodensee</t>
  </si>
  <si>
    <t>Langenargen</t>
  </si>
  <si>
    <t>Markdorf, Stadt</t>
  </si>
  <si>
    <t>Meckenbeuren</t>
  </si>
  <si>
    <t>Meersburg, Stadt</t>
  </si>
  <si>
    <t>Neukirch</t>
  </si>
  <si>
    <t>Oberteuringen</t>
  </si>
  <si>
    <t>Owingen</t>
  </si>
  <si>
    <t>Salem</t>
  </si>
  <si>
    <t>Sipplingen</t>
  </si>
  <si>
    <t>Stetten</t>
  </si>
  <si>
    <t>Tettnang, Stadt</t>
  </si>
  <si>
    <t>Überlingen, Stadt</t>
  </si>
  <si>
    <t>Uhldingen-Mühlhofen</t>
  </si>
  <si>
    <t>Deggenhausertal</t>
  </si>
  <si>
    <t>Achberg</t>
  </si>
  <si>
    <t>Ravensburg</t>
  </si>
  <si>
    <t>Aichstetten</t>
  </si>
  <si>
    <t>Aitrach</t>
  </si>
  <si>
    <t>Altshausen</t>
  </si>
  <si>
    <t>Amtzell</t>
  </si>
  <si>
    <t>Aulendorf, Stadt</t>
  </si>
  <si>
    <t>Bad Waldsee, Stadt</t>
  </si>
  <si>
    <t>Bad Wurzach, Stadt</t>
  </si>
  <si>
    <t>Baienfurt</t>
  </si>
  <si>
    <t>Baindt</t>
  </si>
  <si>
    <t>Berg</t>
  </si>
  <si>
    <t>Bergatreute</t>
  </si>
  <si>
    <t>Bodnegg</t>
  </si>
  <si>
    <t>Boms</t>
  </si>
  <si>
    <t>Ebenweiler</t>
  </si>
  <si>
    <t>Eichstegen</t>
  </si>
  <si>
    <t>Fleischwangen</t>
  </si>
  <si>
    <t>Grünkraut</t>
  </si>
  <si>
    <t>Guggenhausen</t>
  </si>
  <si>
    <t>Hoßkirch</t>
  </si>
  <si>
    <t>Isny im Allgäu, Stadt</t>
  </si>
  <si>
    <t>Kißlegg</t>
  </si>
  <si>
    <t>Königseggwald</t>
  </si>
  <si>
    <t>Leutkirch im Allgäu, Stadt</t>
  </si>
  <si>
    <t>Ravensburg, Stadt</t>
  </si>
  <si>
    <t>Riedhausen</t>
  </si>
  <si>
    <t>Schlier</t>
  </si>
  <si>
    <t>Unterwaldhausen</t>
  </si>
  <si>
    <t>Vogt</t>
  </si>
  <si>
    <t>Waldburg</t>
  </si>
  <si>
    <t>Wangen im Allgäu, Stadt</t>
  </si>
  <si>
    <t>Weingarten, Stadt</t>
  </si>
  <si>
    <t>Wilhelmsdorf</t>
  </si>
  <si>
    <t>Wolfegg</t>
  </si>
  <si>
    <t>Wolpertswende</t>
  </si>
  <si>
    <t>Ebersbach-Musbach</t>
  </si>
  <si>
    <t>Argenbühl</t>
  </si>
  <si>
    <t>Horgenzell</t>
  </si>
  <si>
    <t>Fronreute</t>
  </si>
  <si>
    <t>Beuron</t>
  </si>
  <si>
    <t>Sigmaringen</t>
  </si>
  <si>
    <t>Bingen</t>
  </si>
  <si>
    <t>Gammertingen, Stadt</t>
  </si>
  <si>
    <t>Herbertingen</t>
  </si>
  <si>
    <t>Hettingen, Stadt</t>
  </si>
  <si>
    <t>Hohentengen</t>
  </si>
  <si>
    <t>Illmensee</t>
  </si>
  <si>
    <t>Inzigkofen</t>
  </si>
  <si>
    <t>Krauchenwies</t>
  </si>
  <si>
    <t>Leibertingen</t>
  </si>
  <si>
    <t>Mengen, Stadt</t>
  </si>
  <si>
    <t>Meßkirch, Stadt</t>
  </si>
  <si>
    <t>Neufra</t>
  </si>
  <si>
    <t>Ostrach</t>
  </si>
  <si>
    <t>Pfullendorf, Stadt</t>
  </si>
  <si>
    <t>Bad Saulgau, Stadt</t>
  </si>
  <si>
    <t>Scheer, Stadt</t>
  </si>
  <si>
    <t>Schwenningen</t>
  </si>
  <si>
    <t>Sigmaringen, Stadt</t>
  </si>
  <si>
    <t>Sigmaringendorf</t>
  </si>
  <si>
    <t>Stetten am kalten Markt</t>
  </si>
  <si>
    <t>Veringenstadt, Stadt</t>
  </si>
  <si>
    <t>Wald</t>
  </si>
  <si>
    <t>Sauldorf</t>
  </si>
  <si>
    <t>Herdwangen-Schönach</t>
  </si>
  <si>
    <t>Mittelwert Land Baden-Württemberg</t>
  </si>
  <si>
    <t xml:space="preserve">Quelle: </t>
  </si>
  <si>
    <t>DWD Climate Data Center (CDC), 1981 - 2010; Offenbach 2019</t>
  </si>
  <si>
    <t>Bearbeitung:</t>
  </si>
  <si>
    <t>LEL Schwäbisch Gmünd, Abt. 3</t>
  </si>
  <si>
    <t>Stand:</t>
  </si>
  <si>
    <t>(min 600 / max 2000)</t>
  </si>
  <si>
    <r>
      <t xml:space="preserve">Summe weitere Zuflüsse </t>
    </r>
    <r>
      <rPr>
        <b/>
        <u/>
        <sz val="14"/>
        <color theme="1"/>
        <rFont val="Arial"/>
        <family val="2"/>
      </rPr>
      <t>je Jahr</t>
    </r>
  </si>
  <si>
    <r>
      <t xml:space="preserve">Summe weitere Zuflüsse </t>
    </r>
    <r>
      <rPr>
        <b/>
        <u/>
        <sz val="14"/>
        <color theme="1"/>
        <rFont val="Arial"/>
        <family val="2"/>
      </rPr>
      <t>je Monat</t>
    </r>
  </si>
  <si>
    <t>F R A N S I</t>
  </si>
  <si>
    <r>
      <rPr>
        <b/>
        <sz val="18"/>
        <color rgb="FFFF0000"/>
        <rFont val="Arial"/>
        <family val="2"/>
      </rPr>
      <t>Fr</t>
    </r>
    <r>
      <rPr>
        <b/>
        <sz val="18"/>
        <color theme="1"/>
        <rFont val="Arial"/>
        <family val="2"/>
      </rPr>
      <t>emdwasser</t>
    </r>
    <r>
      <rPr>
        <b/>
        <sz val="18"/>
        <color rgb="FFFF0000"/>
        <rFont val="Arial"/>
        <family val="2"/>
      </rPr>
      <t>an</t>
    </r>
    <r>
      <rPr>
        <b/>
        <sz val="18"/>
        <color theme="1"/>
        <rFont val="Arial"/>
        <family val="2"/>
      </rPr>
      <t xml:space="preserve">fall und </t>
    </r>
    <r>
      <rPr>
        <b/>
        <sz val="18"/>
        <color rgb="FFFF0000"/>
        <rFont val="Arial"/>
        <family val="2"/>
      </rPr>
      <t>Si</t>
    </r>
    <r>
      <rPr>
        <b/>
        <sz val="18"/>
        <color theme="1"/>
        <rFont val="Arial"/>
        <family val="2"/>
      </rPr>
      <t xml:space="preserve">lagesickersaft </t>
    </r>
  </si>
  <si>
    <t xml:space="preserve">Betriebe, die mehr als 3 Großvieheinheiten je Hektar landwirtschaftlich genutzter Fläche halten, sowie Betriebe, die über </t>
  </si>
  <si>
    <t>davon überdacht</t>
  </si>
  <si>
    <t xml:space="preserve"> ---   </t>
  </si>
  <si>
    <t xml:space="preserve"> Übertrag nach "Düngung BW" </t>
  </si>
  <si>
    <t xml:space="preserve"> Lagerraumbedarf Fremdwasser und Sickersäfte</t>
  </si>
  <si>
    <t>Summe Lagerraumbedarf Fremdwasser und Sickersäfte</t>
  </si>
  <si>
    <t>Berechnung des Lagerraums für Fremdwasser und Sickersäfte</t>
  </si>
  <si>
    <t>davon Güllebehälter</t>
  </si>
  <si>
    <t>davon Sickersaftbehälter</t>
  </si>
  <si>
    <t>Gärsaft in Güllebehälter</t>
  </si>
  <si>
    <t>Gärsaft in Sickersaftbehälter</t>
  </si>
  <si>
    <t>Weitere Zuflüsse in Güllebehälter</t>
  </si>
  <si>
    <t>Weitere Zuflüsse in Sickersaftbehälter</t>
  </si>
  <si>
    <t xml:space="preserve">Der Lagerraumbedarf für Silagesickersaft wird getrennt ausgewiesen für Güllebehälter und/oder Sickersaftbehälter in </t>
  </si>
  <si>
    <r>
      <t xml:space="preserve">Summe Schmutzwasserlagerbedarf ohne Gärsaft </t>
    </r>
    <r>
      <rPr>
        <b/>
        <u/>
        <sz val="14"/>
        <rFont val="Arial"/>
        <family val="2"/>
      </rPr>
      <t>je Monat</t>
    </r>
  </si>
  <si>
    <t>Sonstige Abfüllfläche</t>
  </si>
  <si>
    <t>Schmutzwasser Silo in Güllebehälter</t>
  </si>
  <si>
    <t>Schmutzwasser Silo in Sickersaftbehälter</t>
  </si>
  <si>
    <t xml:space="preserve"> </t>
  </si>
  <si>
    <t>Silagesickersaft wird aus den Komponenten "Gärsaft" (aus dem Siliergut) und "verunreinigtes Niederschlagswasser" berechnet.</t>
  </si>
  <si>
    <t>Für Gärsaft muss mindestens eine Lagerkapazität von 3 % des größten Silos (Silagelagervolumen, also incl. Überfüllung)</t>
  </si>
  <si>
    <t>vorgehalten werden. Das gilt nur dann, wenn nicht alle Silos gleichzeitig befüllt werden. Sind zwei oder mehrere</t>
  </si>
  <si>
    <t>gleichzeitig geöffnet sind (aus denen gefüttert wird) und der datzgehörenden Abfüllfläche (Rangierfläche).</t>
  </si>
  <si>
    <t>Dient der Güllekanal nur der Entmistung, so bedarf es keiner Leckagefolie, wenn die maximale Einstauhöhe</t>
  </si>
  <si>
    <t>unter 75 cm (alle Tierarten mit Ausnahme Rinder) bzw. unter 100 cm (Rinder) bleibt.</t>
  </si>
  <si>
    <t>Wird der Güllekanal auch zur Lagerung eingesetzt, so muss er bautechnisch mit einer Leckagefolie ausgerüstet sein.</t>
  </si>
  <si>
    <t xml:space="preserve">Ziel der Anwendung ist die Ermittlung der Lagerkapazitäten und des Lagerraumbedarfs für Sickersäfte und verunreinigtes </t>
  </si>
  <si>
    <t xml:space="preserve">Niederschlagswasser nach AwSV. Das Ergebnis ist der Lagerraumbedarf für Güllebehälter als Übertrag in die Web-Anwendung </t>
  </si>
  <si>
    <t>"Düngung-BW" sowie der Lagerraumbedarf für den Sickersaftbehälter.</t>
  </si>
  <si>
    <t>JGS Merkblatt 2008, die vor dem 1. August 2017 errichtet wurden.</t>
  </si>
  <si>
    <t xml:space="preserve">Die Anwendung ermittelt nicht den notwendigen Lagerraumbedarf für bestehende Anlagen nach dem </t>
  </si>
  <si>
    <t xml:space="preserve">unabhängig voneinander betriebene Siloanlagen auf dem Betrieb, muss für jede Siloanlage die Lagerkapazität für Gärsagft </t>
  </si>
  <si>
    <t xml:space="preserve">separat gerechnet werden. Der Anfall an verschmutztem Niederschlagswasser richtet sich nach der Zahl der Silos, die </t>
  </si>
  <si>
    <t>Version 1.0, 01.07.2019</t>
  </si>
  <si>
    <t xml:space="preserve"> Programmabhängige Eingabe durch Auswahl aus Dropdownliste der Eingabezelle (bitte Zelle anklicken)</t>
  </si>
  <si>
    <t xml:space="preserve"> Manuelle Eingabe von Zahlen bzw. Texten</t>
  </si>
  <si>
    <t xml:space="preserve"> Berechnungsfeld (gesperrt für Eingabe)</t>
  </si>
  <si>
    <t xml:space="preserve"> Ergebnisfeld (gesperrt für Eingabe)</t>
  </si>
  <si>
    <t>Die Arbeitsblätter sind unabhängig von einander anwendbar. Soweit möglich werden Daten aus den Vorblättern übernommen.</t>
  </si>
  <si>
    <t>LEL Schwäbisch Gmünd, Ref. 31;</t>
  </si>
  <si>
    <t>Rechenblatt &lt;Weitere Zuflüsse&gt; zu erfassen. Dort sind auch überdachte Flächen anzugeben.</t>
  </si>
  <si>
    <r>
      <t>Arbeitsblatt &lt;</t>
    </r>
    <r>
      <rPr>
        <b/>
        <sz val="11"/>
        <rFont val="Arial"/>
        <family val="2"/>
      </rPr>
      <t>Weitere Zuflüsse</t>
    </r>
    <r>
      <rPr>
        <sz val="11"/>
        <rFont val="Arial"/>
        <family val="2"/>
      </rPr>
      <t>&gt; zu erfassen. Dort sind auch überdachte Flächen anzugeben.</t>
    </r>
  </si>
  <si>
    <r>
      <t>Abhängigkeit von der Zuleitung, wie sie in den Arbeitsblättern &lt;</t>
    </r>
    <r>
      <rPr>
        <b/>
        <sz val="11"/>
        <rFont val="Arial"/>
        <family val="2"/>
      </rPr>
      <t>Sickersaft</t>
    </r>
    <r>
      <rPr>
        <sz val="11"/>
        <rFont val="Arial"/>
        <family val="2"/>
      </rPr>
      <t>&gt; und &lt;</t>
    </r>
    <r>
      <rPr>
        <b/>
        <sz val="11"/>
        <rFont val="Arial"/>
        <family val="2"/>
      </rPr>
      <t>Weitere Zuflüsse</t>
    </r>
    <r>
      <rPr>
        <sz val="11"/>
        <rFont val="Arial"/>
        <family val="2"/>
      </rPr>
      <t>&gt; ausgewählt wurden.</t>
    </r>
  </si>
  <si>
    <r>
      <t xml:space="preserve">Alle </t>
    </r>
    <r>
      <rPr>
        <b/>
        <sz val="11"/>
        <color theme="1"/>
        <rFont val="Arial"/>
        <family val="2"/>
      </rPr>
      <t>offenen Behälter für Flüssigkeiten</t>
    </r>
    <r>
      <rPr>
        <sz val="11"/>
        <color theme="1"/>
        <rFont val="Arial"/>
        <family val="2"/>
      </rPr>
      <t>, in denen Niederschlagswasser anfällt (z.B. Gülle, Jauche, Gärreste, etc…)</t>
    </r>
  </si>
  <si>
    <t xml:space="preserve">Abgabe und Aufnahme von Gülle kann über die Zu- und Verpachtung von Lagerraum (Zelle J44 und J45) geregelt werden. </t>
  </si>
  <si>
    <t xml:space="preserve">Abgabe und Aufnahme von Festmist kann über die Zu- und Verpachtung von Lagerraum (Zelle J17 und J18) geregelt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</si>
</sst>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0_ ;[Red]\-#,##0\ "/>
    <numFmt numFmtId="166" formatCode="#,##0.00_ ;[Red]\-#,##0.00\ "/>
    <numFmt numFmtId="167" formatCode="_-* #,##0.0\ _€_-;\-* #,##0.0\ _€_-;_-* &quot;-&quot;??\ _€_-;_-@_-"/>
    <numFmt numFmtId="168" formatCode="_-* #,##0\ _€_-;\-* #,##0\ _€_-;_-* &quot;-&quot;??\ _€_-;_-@_-"/>
    <numFmt numFmtId="169" formatCode="_-* #,##0.000\ _€_-;\-* #,##0.000\ _€_-;_-* &quot;-&quot;??\ _€_-;_-@_-"/>
    <numFmt numFmtId="170" formatCode="0.0"/>
    <numFmt numFmtId="171" formatCode="_-* #,##0.0\ _€_-;\-* #,##0.0\ _€_-;_-* &quot;-&quot;?\ _€_-;_-@_-"/>
    <numFmt numFmtId="172" formatCode="0.00000000000"/>
  </numFmts>
  <fonts count="53" x14ac:knownFonts="1">
    <font>
      <sz val="11"/>
      <color theme="1"/>
      <name val="Arial"/>
      <family val="2"/>
    </font>
    <font>
      <sz val="11"/>
      <color theme="1"/>
      <name val="Arial"/>
      <family val="2"/>
    </font>
    <font>
      <b/>
      <sz val="11"/>
      <color theme="1"/>
      <name val="Arial"/>
      <family val="2"/>
    </font>
    <font>
      <b/>
      <sz val="18"/>
      <color theme="1"/>
      <name val="Arial"/>
      <family val="2"/>
    </font>
    <font>
      <sz val="10"/>
      <color theme="1"/>
      <name val="Arial"/>
      <family val="2"/>
    </font>
    <font>
      <sz val="8"/>
      <color theme="1"/>
      <name val="Arial"/>
      <family val="2"/>
    </font>
    <font>
      <b/>
      <sz val="12"/>
      <name val="Arial"/>
      <family val="2"/>
    </font>
    <font>
      <b/>
      <sz val="10"/>
      <name val="Arial"/>
      <family val="2"/>
    </font>
    <font>
      <b/>
      <sz val="12"/>
      <color rgb="FFFF0000"/>
      <name val="Arial"/>
      <family val="2"/>
    </font>
    <font>
      <b/>
      <sz val="10"/>
      <color theme="1"/>
      <name val="Arial"/>
      <family val="2"/>
    </font>
    <font>
      <b/>
      <sz val="10"/>
      <color indexed="10"/>
      <name val="Arial"/>
      <family val="2"/>
    </font>
    <font>
      <sz val="10"/>
      <name val="Arial"/>
      <family val="2"/>
    </font>
    <font>
      <sz val="8"/>
      <name val="Arial"/>
      <family val="2"/>
    </font>
    <font>
      <sz val="10"/>
      <color indexed="9"/>
      <name val="Arial"/>
      <family val="2"/>
    </font>
    <font>
      <b/>
      <i/>
      <sz val="8"/>
      <color indexed="17"/>
      <name val="Arial"/>
      <family val="2"/>
    </font>
    <font>
      <sz val="6"/>
      <name val="Arial Narrow"/>
      <family val="2"/>
    </font>
    <font>
      <b/>
      <sz val="8"/>
      <name val="Arial Narrow"/>
      <family val="2"/>
    </font>
    <font>
      <sz val="8"/>
      <name val="Arial Narrow"/>
      <family val="2"/>
    </font>
    <font>
      <b/>
      <sz val="8"/>
      <name val="Arial"/>
      <family val="2"/>
    </font>
    <font>
      <b/>
      <sz val="11"/>
      <name val="Arial"/>
      <family val="2"/>
    </font>
    <font>
      <b/>
      <sz val="16"/>
      <name val="Arial"/>
      <family val="2"/>
    </font>
    <font>
      <sz val="11"/>
      <name val="Arial"/>
      <family val="2"/>
    </font>
    <font>
      <b/>
      <sz val="12"/>
      <color theme="1"/>
      <name val="Arial"/>
      <family val="2"/>
    </font>
    <font>
      <b/>
      <sz val="9"/>
      <color theme="1"/>
      <name val="Arial"/>
      <family val="2"/>
    </font>
    <font>
      <sz val="9"/>
      <color theme="1"/>
      <name val="Arial"/>
      <family val="2"/>
    </font>
    <font>
      <b/>
      <sz val="11"/>
      <color theme="4"/>
      <name val="Arial"/>
      <family val="2"/>
    </font>
    <font>
      <sz val="11"/>
      <color rgb="FFFF0000"/>
      <name val="Arial"/>
      <family val="2"/>
    </font>
    <font>
      <b/>
      <sz val="14"/>
      <color theme="1"/>
      <name val="Arial"/>
      <family val="2"/>
    </font>
    <font>
      <sz val="8"/>
      <color indexed="81"/>
      <name val="Tahoma"/>
      <family val="2"/>
    </font>
    <font>
      <b/>
      <sz val="12"/>
      <color theme="4"/>
      <name val="Arial"/>
      <family val="2"/>
    </font>
    <font>
      <b/>
      <sz val="16"/>
      <color theme="1"/>
      <name val="Arial"/>
      <family val="2"/>
    </font>
    <font>
      <b/>
      <vertAlign val="superscript"/>
      <sz val="12"/>
      <color theme="4"/>
      <name val="Arial"/>
      <family val="2"/>
    </font>
    <font>
      <b/>
      <sz val="11"/>
      <color rgb="FFFF0000"/>
      <name val="Arial"/>
      <family val="2"/>
    </font>
    <font>
      <b/>
      <i/>
      <sz val="11"/>
      <color theme="1"/>
      <name val="Arial"/>
      <family val="2"/>
    </font>
    <font>
      <b/>
      <sz val="14"/>
      <color theme="9" tint="-0.249977111117893"/>
      <name val="Arial"/>
      <family val="2"/>
    </font>
    <font>
      <b/>
      <sz val="12"/>
      <color rgb="FF0070C0"/>
      <name val="Arial"/>
      <family val="2"/>
    </font>
    <font>
      <b/>
      <sz val="11"/>
      <color rgb="FF0070C0"/>
      <name val="Arial"/>
      <family val="2"/>
    </font>
    <font>
      <sz val="12"/>
      <color theme="1"/>
      <name val="Arial"/>
      <family val="2"/>
    </font>
    <font>
      <b/>
      <sz val="14"/>
      <name val="Arial"/>
      <family val="2"/>
    </font>
    <font>
      <b/>
      <sz val="14"/>
      <color theme="4"/>
      <name val="Arial"/>
      <family val="2"/>
    </font>
    <font>
      <sz val="14"/>
      <color theme="1"/>
      <name val="Arial"/>
      <family val="2"/>
    </font>
    <font>
      <b/>
      <sz val="20"/>
      <color theme="1"/>
      <name val="Arial"/>
      <family val="2"/>
    </font>
    <font>
      <sz val="14"/>
      <color theme="1"/>
      <name val="Wingdings"/>
      <charset val="2"/>
    </font>
    <font>
      <b/>
      <sz val="14"/>
      <color rgb="FF0070C0"/>
      <name val="Arial"/>
      <family val="2"/>
    </font>
    <font>
      <b/>
      <u/>
      <sz val="14"/>
      <color rgb="FF0070C0"/>
      <name val="Arial"/>
      <family val="2"/>
    </font>
    <font>
      <sz val="12"/>
      <name val="Arial"/>
      <family val="2"/>
    </font>
    <font>
      <b/>
      <sz val="9"/>
      <color indexed="81"/>
      <name val="Arial"/>
      <family val="2"/>
    </font>
    <font>
      <sz val="9"/>
      <color indexed="81"/>
      <name val="Arial"/>
      <family val="2"/>
    </font>
    <font>
      <b/>
      <sz val="11"/>
      <color rgb="FF00B050"/>
      <name val="Arial"/>
      <family val="2"/>
    </font>
    <font>
      <b/>
      <u/>
      <sz val="14"/>
      <name val="Arial"/>
      <family val="2"/>
    </font>
    <font>
      <b/>
      <u/>
      <sz val="14"/>
      <color theme="1"/>
      <name val="Arial"/>
      <family val="2"/>
    </font>
    <font>
      <b/>
      <sz val="18"/>
      <color rgb="FFFF0000"/>
      <name val="Arial"/>
      <family val="2"/>
    </font>
    <font>
      <b/>
      <sz val="8"/>
      <color indexed="81"/>
      <name val="Tahoma"/>
      <family val="2"/>
    </font>
  </fonts>
  <fills count="1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00"/>
        <bgColor indexed="64"/>
      </patternFill>
    </fill>
    <fill>
      <patternFill patternType="solid">
        <fgColor indexed="9"/>
        <bgColor indexed="64"/>
      </patternFill>
    </fill>
    <fill>
      <patternFill patternType="solid">
        <fgColor rgb="FFFFFFCC"/>
        <bgColor indexed="64"/>
      </patternFill>
    </fill>
    <fill>
      <patternFill patternType="solid">
        <fgColor indexed="17"/>
        <bgColor indexed="64"/>
      </patternFill>
    </fill>
    <fill>
      <patternFill patternType="solid">
        <fgColor indexed="41"/>
        <bgColor indexed="64"/>
      </patternFill>
    </fill>
    <fill>
      <patternFill patternType="solid">
        <fgColor indexed="50"/>
        <bgColor indexed="64"/>
      </patternFill>
    </fill>
    <fill>
      <patternFill patternType="solid">
        <fgColor indexed="51"/>
        <bgColor indexed="64"/>
      </patternFill>
    </fill>
    <fill>
      <patternFill patternType="solid">
        <fgColor indexed="47"/>
        <bgColor indexed="64"/>
      </patternFill>
    </fill>
    <fill>
      <patternFill patternType="solid">
        <fgColor indexed="45"/>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C000"/>
        <bgColor indexed="64"/>
      </patternFill>
    </fill>
    <fill>
      <patternFill patternType="solid">
        <fgColor rgb="FFCCECFF"/>
        <bgColor indexed="64"/>
      </patternFill>
    </fill>
    <fill>
      <patternFill patternType="solid">
        <fgColor theme="2" tint="-0.249977111117893"/>
        <bgColor indexed="64"/>
      </patternFill>
    </fill>
    <fill>
      <patternFill patternType="solid">
        <fgColor rgb="FF92D050"/>
        <bgColor indexed="64"/>
      </patternFill>
    </fill>
  </fills>
  <borders count="108">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right style="dotted">
        <color indexed="64"/>
      </right>
      <top style="dotted">
        <color indexed="64"/>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hair">
        <color indexed="22"/>
      </top>
      <bottom style="hair">
        <color indexed="22"/>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double">
        <color indexed="64"/>
      </bottom>
      <diagonal/>
    </border>
    <border>
      <left style="medium">
        <color indexed="64"/>
      </left>
      <right/>
      <top style="hair">
        <color indexed="64"/>
      </top>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hair">
        <color indexed="64"/>
      </bottom>
      <diagonal/>
    </border>
    <border>
      <left style="thin">
        <color indexed="64"/>
      </left>
      <right/>
      <top style="hair">
        <color indexed="64"/>
      </top>
      <bottom style="double">
        <color auto="1"/>
      </bottom>
      <diagonal/>
    </border>
    <border>
      <left/>
      <right/>
      <top style="hair">
        <color indexed="64"/>
      </top>
      <bottom style="double">
        <color auto="1"/>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hair">
        <color indexed="64"/>
      </top>
      <bottom style="double">
        <color auto="1"/>
      </bottom>
      <diagonal/>
    </border>
    <border>
      <left style="medium">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bottom style="hair">
        <color indexed="64"/>
      </bottom>
      <diagonal/>
    </border>
    <border>
      <left/>
      <right/>
      <top/>
      <bottom style="double">
        <color auto="1"/>
      </bottom>
      <diagonal/>
    </border>
    <border>
      <left style="thin">
        <color indexed="64"/>
      </left>
      <right style="double">
        <color indexed="64"/>
      </right>
      <top/>
      <bottom style="double">
        <color indexed="64"/>
      </bottom>
      <diagonal/>
    </border>
    <border>
      <left/>
      <right/>
      <top style="double">
        <color auto="1"/>
      </top>
      <bottom style="thin">
        <color indexed="64"/>
      </bottom>
      <diagonal/>
    </border>
    <border>
      <left style="thin">
        <color indexed="64"/>
      </left>
      <right style="double">
        <color indexed="64"/>
      </right>
      <top style="double">
        <color auto="1"/>
      </top>
      <bottom style="thin">
        <color indexed="64"/>
      </bottom>
      <diagonal/>
    </border>
    <border>
      <left style="double">
        <color auto="1"/>
      </left>
      <right/>
      <top style="double">
        <color auto="1"/>
      </top>
      <bottom style="thin">
        <color indexed="64"/>
      </bottom>
      <diagonal/>
    </border>
    <border>
      <left style="double">
        <color auto="1"/>
      </left>
      <right/>
      <top/>
      <bottom style="double">
        <color auto="1"/>
      </bottom>
      <diagonal/>
    </border>
    <border>
      <left style="thin">
        <color indexed="64"/>
      </left>
      <right/>
      <top/>
      <bottom style="double">
        <color auto="1"/>
      </bottom>
      <diagonal/>
    </border>
    <border>
      <left/>
      <right style="medium">
        <color indexed="64"/>
      </right>
      <top/>
      <bottom style="double">
        <color auto="1"/>
      </bottom>
      <diagonal/>
    </border>
    <border>
      <left style="thin">
        <color indexed="64"/>
      </left>
      <right style="thin">
        <color indexed="64"/>
      </right>
      <top style="hair">
        <color indexed="64"/>
      </top>
      <bottom style="double">
        <color auto="1"/>
      </bottom>
      <diagonal/>
    </border>
    <border>
      <left style="thin">
        <color indexed="64"/>
      </left>
      <right style="thin">
        <color indexed="64"/>
      </right>
      <top/>
      <bottom style="double">
        <color auto="1"/>
      </bottom>
      <diagonal/>
    </border>
    <border>
      <left/>
      <right style="double">
        <color auto="1"/>
      </right>
      <top/>
      <bottom style="double">
        <color auto="1"/>
      </bottom>
      <diagonal/>
    </border>
    <border>
      <left/>
      <right style="double">
        <color auto="1"/>
      </right>
      <top style="double">
        <color auto="1"/>
      </top>
      <bottom style="thin">
        <color indexed="64"/>
      </bottom>
      <diagonal/>
    </border>
    <border>
      <left style="thin">
        <color indexed="64"/>
      </left>
      <right style="thin">
        <color indexed="64"/>
      </right>
      <top style="double">
        <color auto="1"/>
      </top>
      <bottom style="thin">
        <color indexed="64"/>
      </bottom>
      <diagonal/>
    </border>
  </borders>
  <cellStyleXfs count="55">
    <xf numFmtId="0" fontId="0" fillId="0" borderId="0"/>
    <xf numFmtId="164" fontId="1" fillId="0" borderId="0" applyFont="0" applyFill="0" applyBorder="0" applyAlignment="0" applyProtection="0"/>
    <xf numFmtId="0" fontId="6" fillId="3" borderId="9">
      <alignment horizontal="center" vertical="center" shrinkToFit="1"/>
    </xf>
    <xf numFmtId="0" fontId="6" fillId="3" borderId="11">
      <alignment horizontal="center" vertical="center" shrinkToFit="1"/>
    </xf>
    <xf numFmtId="165" fontId="10" fillId="5" borderId="9">
      <alignment horizontal="center" vertical="center" shrinkToFit="1"/>
    </xf>
    <xf numFmtId="165" fontId="11" fillId="5" borderId="9">
      <alignment vertical="center" shrinkToFit="1"/>
    </xf>
    <xf numFmtId="166" fontId="11" fillId="5" borderId="9">
      <alignment vertical="center" shrinkToFit="1"/>
    </xf>
    <xf numFmtId="166" fontId="13" fillId="7" borderId="0">
      <alignment vertical="center"/>
    </xf>
    <xf numFmtId="166" fontId="14" fillId="5" borderId="0">
      <alignment horizontal="center" vertical="center"/>
    </xf>
    <xf numFmtId="165" fontId="12" fillId="3" borderId="0">
      <alignment vertical="center"/>
    </xf>
    <xf numFmtId="165" fontId="12" fillId="8" borderId="16">
      <alignment vertical="center"/>
    </xf>
    <xf numFmtId="166" fontId="12" fillId="9" borderId="0">
      <alignment vertical="center"/>
    </xf>
    <xf numFmtId="0" fontId="6" fillId="3" borderId="17">
      <alignment horizontal="center" vertical="center" shrinkToFit="1"/>
    </xf>
    <xf numFmtId="165" fontId="7" fillId="3" borderId="9">
      <alignment vertical="center" shrinkToFit="1"/>
    </xf>
    <xf numFmtId="166" fontId="7" fillId="3" borderId="9">
      <alignment vertical="center" shrinkToFit="1"/>
    </xf>
    <xf numFmtId="9" fontId="11" fillId="5" borderId="9">
      <alignment vertical="center" shrinkToFit="1"/>
    </xf>
    <xf numFmtId="10" fontId="11" fillId="5" borderId="9">
      <alignment vertical="center" shrinkToFit="1"/>
    </xf>
    <xf numFmtId="165" fontId="7" fillId="5" borderId="9">
      <alignment vertical="center" shrinkToFit="1"/>
    </xf>
    <xf numFmtId="165" fontId="12" fillId="5" borderId="9">
      <alignment vertical="center" shrinkToFit="1"/>
    </xf>
    <xf numFmtId="166" fontId="7" fillId="5" borderId="9">
      <alignment vertical="center" shrinkToFit="1"/>
    </xf>
    <xf numFmtId="165" fontId="15" fillId="10" borderId="0">
      <alignment horizontal="center" vertical="center"/>
    </xf>
    <xf numFmtId="165" fontId="12" fillId="11" borderId="18">
      <alignment vertical="center"/>
    </xf>
    <xf numFmtId="165" fontId="12" fillId="12" borderId="0">
      <alignment vertical="center"/>
    </xf>
    <xf numFmtId="0" fontId="11" fillId="0" borderId="0"/>
    <xf numFmtId="0" fontId="12" fillId="5" borderId="19">
      <alignment horizontal="right" vertical="center"/>
    </xf>
    <xf numFmtId="0" fontId="12" fillId="5" borderId="8">
      <alignment horizontal="right" vertical="center"/>
    </xf>
    <xf numFmtId="0" fontId="12" fillId="5" borderId="20">
      <alignment horizontal="right" vertical="center"/>
    </xf>
    <xf numFmtId="0" fontId="16" fillId="5" borderId="7">
      <alignment vertical="center"/>
    </xf>
    <xf numFmtId="0" fontId="16" fillId="5" borderId="21">
      <alignment vertical="center"/>
    </xf>
    <xf numFmtId="0" fontId="17" fillId="5" borderId="7">
      <alignment vertical="center"/>
    </xf>
    <xf numFmtId="0" fontId="17" fillId="5" borderId="21">
      <alignment vertical="center"/>
    </xf>
    <xf numFmtId="0" fontId="12" fillId="5" borderId="7">
      <alignment vertical="center"/>
    </xf>
    <xf numFmtId="0" fontId="12" fillId="5" borderId="21">
      <alignment vertical="center"/>
    </xf>
    <xf numFmtId="0" fontId="12" fillId="5" borderId="22">
      <alignment vertical="center"/>
    </xf>
    <xf numFmtId="0" fontId="18" fillId="5" borderId="0">
      <alignment horizontal="center" vertical="center"/>
    </xf>
    <xf numFmtId="0" fontId="18" fillId="5" borderId="23">
      <alignment horizontal="center" vertical="center"/>
    </xf>
    <xf numFmtId="0" fontId="18" fillId="5" borderId="24">
      <alignment horizontal="center" vertical="center"/>
    </xf>
    <xf numFmtId="0" fontId="16" fillId="5" borderId="0">
      <alignment horizontal="center" vertical="center"/>
    </xf>
    <xf numFmtId="0" fontId="17" fillId="5" borderId="0">
      <alignment horizontal="center" vertical="center"/>
    </xf>
    <xf numFmtId="0" fontId="17" fillId="5" borderId="23">
      <alignment horizontal="center" vertical="center"/>
    </xf>
    <xf numFmtId="0" fontId="17" fillId="5" borderId="24">
      <alignment horizontal="center" vertical="center"/>
    </xf>
    <xf numFmtId="0" fontId="12" fillId="5" borderId="0">
      <alignment horizontal="center" vertical="center"/>
    </xf>
    <xf numFmtId="0" fontId="12" fillId="5" borderId="23">
      <alignment horizontal="center" vertical="center"/>
    </xf>
    <xf numFmtId="0" fontId="12" fillId="5" borderId="24">
      <alignment horizontal="center" vertical="center"/>
    </xf>
    <xf numFmtId="166" fontId="7" fillId="5" borderId="0">
      <alignment vertical="center"/>
    </xf>
    <xf numFmtId="166" fontId="19" fillId="5" borderId="0">
      <alignment vertical="center"/>
    </xf>
    <xf numFmtId="166" fontId="6" fillId="5" borderId="0">
      <alignment vertical="center"/>
    </xf>
    <xf numFmtId="166" fontId="20" fillId="5" borderId="0">
      <alignment vertical="center"/>
    </xf>
    <xf numFmtId="166" fontId="11" fillId="5" borderId="0">
      <alignment vertical="center"/>
    </xf>
    <xf numFmtId="166" fontId="21" fillId="5" borderId="0">
      <alignment vertical="center"/>
    </xf>
    <xf numFmtId="166" fontId="12" fillId="5" borderId="0">
      <alignment vertical="center"/>
    </xf>
    <xf numFmtId="166" fontId="18" fillId="5" borderId="0">
      <alignment horizontal="center" vertical="center"/>
    </xf>
    <xf numFmtId="166" fontId="12" fillId="5" borderId="0">
      <alignment horizontal="center" vertical="center"/>
    </xf>
    <xf numFmtId="165" fontId="7" fillId="5" borderId="25">
      <alignment vertical="center"/>
    </xf>
    <xf numFmtId="165" fontId="12" fillId="5" borderId="25">
      <alignment vertical="center"/>
    </xf>
  </cellStyleXfs>
  <cellXfs count="753">
    <xf numFmtId="0" fontId="0" fillId="0" borderId="0" xfId="0"/>
    <xf numFmtId="0" fontId="0" fillId="0" borderId="0" xfId="0" applyBorder="1"/>
    <xf numFmtId="0" fontId="0" fillId="0" borderId="0" xfId="0" applyAlignment="1">
      <alignment vertical="center"/>
    </xf>
    <xf numFmtId="0" fontId="27" fillId="0" borderId="0" xfId="0" applyFont="1" applyAlignment="1">
      <alignment vertical="center"/>
    </xf>
    <xf numFmtId="0" fontId="4" fillId="0" borderId="0" xfId="0" applyFont="1" applyAlignment="1">
      <alignment vertical="center"/>
    </xf>
    <xf numFmtId="0" fontId="0" fillId="0" borderId="22" xfId="0" applyBorder="1" applyAlignment="1">
      <alignment vertical="center"/>
    </xf>
    <xf numFmtId="0" fontId="0" fillId="0" borderId="24" xfId="0" applyBorder="1" applyAlignment="1">
      <alignment horizontal="left" vertical="center" indent="1"/>
    </xf>
    <xf numFmtId="0" fontId="0" fillId="0" borderId="9" xfId="0" applyBorder="1" applyAlignment="1">
      <alignment vertical="center"/>
    </xf>
    <xf numFmtId="0" fontId="0" fillId="0" borderId="23" xfId="0" applyBorder="1" applyAlignment="1">
      <alignment vertical="center"/>
    </xf>
    <xf numFmtId="0" fontId="0" fillId="0" borderId="0" xfId="0" applyBorder="1" applyAlignment="1">
      <alignment vertical="center"/>
    </xf>
    <xf numFmtId="0" fontId="0" fillId="0" borderId="28" xfId="0" applyBorder="1" applyAlignment="1">
      <alignment vertical="center"/>
    </xf>
    <xf numFmtId="0" fontId="0" fillId="0" borderId="17" xfId="0" applyBorder="1" applyAlignment="1">
      <alignment vertical="center"/>
    </xf>
    <xf numFmtId="0" fontId="0" fillId="0" borderId="0" xfId="0" applyBorder="1" applyAlignment="1">
      <alignment horizontal="left" vertical="center" indent="1"/>
    </xf>
    <xf numFmtId="0" fontId="22" fillId="13" borderId="23" xfId="0" applyFont="1" applyFill="1" applyBorder="1" applyAlignment="1">
      <alignment vertical="center"/>
    </xf>
    <xf numFmtId="0" fontId="27" fillId="13" borderId="0" xfId="0" applyFont="1" applyFill="1" applyBorder="1" applyAlignment="1">
      <alignment vertical="center"/>
    </xf>
    <xf numFmtId="0" fontId="27" fillId="13" borderId="21" xfId="0" applyFont="1" applyFill="1" applyBorder="1" applyAlignment="1">
      <alignment vertical="center"/>
    </xf>
    <xf numFmtId="0" fontId="27" fillId="13" borderId="23" xfId="0" applyFont="1" applyFill="1" applyBorder="1" applyAlignment="1">
      <alignment vertical="center"/>
    </xf>
    <xf numFmtId="0" fontId="27" fillId="13" borderId="22" xfId="0" applyFont="1" applyFill="1" applyBorder="1" applyAlignment="1">
      <alignment vertical="center"/>
    </xf>
    <xf numFmtId="0" fontId="27" fillId="13" borderId="24" xfId="0" applyFont="1" applyFill="1" applyBorder="1" applyAlignment="1">
      <alignment vertical="center"/>
    </xf>
    <xf numFmtId="0" fontId="0" fillId="13" borderId="22" xfId="0" applyFill="1" applyBorder="1" applyAlignment="1">
      <alignment vertical="center"/>
    </xf>
    <xf numFmtId="0" fontId="0" fillId="13" borderId="24" xfId="0" applyFill="1" applyBorder="1" applyAlignment="1">
      <alignment vertical="center"/>
    </xf>
    <xf numFmtId="0" fontId="27" fillId="13" borderId="23" xfId="0" applyFont="1" applyFill="1" applyBorder="1" applyAlignment="1">
      <alignment horizontal="left" vertical="center"/>
    </xf>
    <xf numFmtId="0" fontId="27" fillId="13" borderId="24" xfId="0" applyFont="1" applyFill="1" applyBorder="1" applyAlignment="1">
      <alignment horizontal="left" vertical="center"/>
    </xf>
    <xf numFmtId="0" fontId="0" fillId="0" borderId="35" xfId="0" applyBorder="1" applyAlignment="1">
      <alignment horizontal="left" vertical="center" indent="1"/>
    </xf>
    <xf numFmtId="0" fontId="0" fillId="0" borderId="39" xfId="0" applyBorder="1" applyAlignment="1">
      <alignment horizontal="left" vertical="center" indent="1"/>
    </xf>
    <xf numFmtId="0" fontId="22" fillId="13" borderId="31" xfId="0" applyFont="1" applyFill="1" applyBorder="1" applyAlignment="1">
      <alignment vertical="center"/>
    </xf>
    <xf numFmtId="0" fontId="0" fillId="13" borderId="31" xfId="0" applyFill="1" applyBorder="1" applyAlignment="1">
      <alignment vertical="center"/>
    </xf>
    <xf numFmtId="0" fontId="29" fillId="13" borderId="21" xfId="0" applyFont="1" applyFill="1" applyBorder="1" applyAlignment="1">
      <alignment vertical="center"/>
    </xf>
    <xf numFmtId="0" fontId="30" fillId="0" borderId="0" xfId="0" applyFont="1" applyAlignment="1">
      <alignment vertical="center"/>
    </xf>
    <xf numFmtId="0" fontId="4" fillId="13" borderId="9" xfId="0" applyFont="1" applyFill="1" applyBorder="1" applyAlignment="1">
      <alignment horizontal="center" vertical="center"/>
    </xf>
    <xf numFmtId="0" fontId="4" fillId="13" borderId="28" xfId="0" applyFont="1" applyFill="1" applyBorder="1" applyAlignment="1">
      <alignment horizontal="center" vertical="center"/>
    </xf>
    <xf numFmtId="0" fontId="4" fillId="13" borderId="21" xfId="0" applyFont="1" applyFill="1" applyBorder="1" applyAlignment="1">
      <alignment horizontal="center" vertical="center"/>
    </xf>
    <xf numFmtId="0" fontId="4" fillId="13" borderId="17" xfId="0" applyFont="1" applyFill="1" applyBorder="1" applyAlignment="1">
      <alignment horizontal="center" vertical="center"/>
    </xf>
    <xf numFmtId="0" fontId="4" fillId="13" borderId="22" xfId="0" applyFont="1" applyFill="1" applyBorder="1" applyAlignment="1">
      <alignment horizontal="center" vertical="center"/>
    </xf>
    <xf numFmtId="0" fontId="9" fillId="13" borderId="17" xfId="0" applyFont="1" applyFill="1" applyBorder="1" applyAlignment="1">
      <alignment horizontal="left" vertical="center"/>
    </xf>
    <xf numFmtId="0" fontId="9" fillId="13" borderId="22" xfId="0" applyFont="1" applyFill="1" applyBorder="1" applyAlignment="1">
      <alignment vertical="center"/>
    </xf>
    <xf numFmtId="0" fontId="4" fillId="13" borderId="7" xfId="0" applyFont="1" applyFill="1" applyBorder="1" applyAlignment="1">
      <alignment horizontal="center" vertical="center"/>
    </xf>
    <xf numFmtId="0" fontId="4" fillId="13" borderId="11" xfId="0" applyFont="1" applyFill="1" applyBorder="1" applyAlignment="1">
      <alignment horizontal="center" vertical="center"/>
    </xf>
    <xf numFmtId="0" fontId="0" fillId="0" borderId="35" xfId="0" applyBorder="1" applyAlignment="1">
      <alignment horizontal="center" vertical="center"/>
    </xf>
    <xf numFmtId="0" fontId="0" fillId="0" borderId="39" xfId="0" applyBorder="1" applyAlignment="1">
      <alignment horizontal="center" vertical="center"/>
    </xf>
    <xf numFmtId="0" fontId="0" fillId="0" borderId="6" xfId="0" applyBorder="1" applyAlignment="1">
      <alignment vertical="center"/>
    </xf>
    <xf numFmtId="0" fontId="0" fillId="13" borderId="2" xfId="0" applyFill="1" applyBorder="1" applyAlignment="1">
      <alignment vertical="center"/>
    </xf>
    <xf numFmtId="0" fontId="32" fillId="0" borderId="0" xfId="0" applyFont="1" applyAlignment="1">
      <alignment vertical="center"/>
    </xf>
    <xf numFmtId="0" fontId="0" fillId="0" borderId="11" xfId="0" applyBorder="1" applyAlignment="1">
      <alignment vertical="center"/>
    </xf>
    <xf numFmtId="0" fontId="29" fillId="13" borderId="30" xfId="0" applyFont="1" applyFill="1" applyBorder="1" applyAlignment="1">
      <alignment vertical="center"/>
    </xf>
    <xf numFmtId="0" fontId="26" fillId="0" borderId="0" xfId="0" applyFont="1" applyAlignment="1">
      <alignment vertical="center"/>
    </xf>
    <xf numFmtId="0" fontId="29" fillId="13" borderId="7" xfId="0" applyFont="1" applyFill="1" applyBorder="1" applyAlignment="1">
      <alignment vertical="center"/>
    </xf>
    <xf numFmtId="0" fontId="0" fillId="0" borderId="21" xfId="0" applyBorder="1" applyAlignment="1">
      <alignment vertical="center"/>
    </xf>
    <xf numFmtId="0" fontId="0" fillId="0" borderId="19"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20" xfId="0" applyBorder="1" applyAlignment="1">
      <alignment vertical="center"/>
    </xf>
    <xf numFmtId="167" fontId="0" fillId="0" borderId="0" xfId="0" applyNumberFormat="1" applyAlignment="1">
      <alignment vertical="center"/>
    </xf>
    <xf numFmtId="0" fontId="0" fillId="13" borderId="23" xfId="0" applyFill="1" applyBorder="1" applyAlignment="1">
      <alignment vertical="center"/>
    </xf>
    <xf numFmtId="0" fontId="0" fillId="13" borderId="21" xfId="0" applyFill="1" applyBorder="1" applyAlignment="1">
      <alignment horizontal="center" vertical="center" textRotation="90"/>
    </xf>
    <xf numFmtId="0" fontId="0" fillId="13" borderId="22" xfId="0" applyFill="1" applyBorder="1" applyAlignment="1">
      <alignment horizontal="center" vertical="center" textRotation="90"/>
    </xf>
    <xf numFmtId="0" fontId="0" fillId="13" borderId="17" xfId="0" applyFill="1" applyBorder="1" applyAlignment="1">
      <alignment vertical="center"/>
    </xf>
    <xf numFmtId="0" fontId="26" fillId="13" borderId="22" xfId="0" applyFont="1" applyFill="1" applyBorder="1" applyAlignment="1">
      <alignment horizontal="left" vertical="center" indent="1"/>
    </xf>
    <xf numFmtId="0" fontId="26" fillId="13" borderId="24" xfId="0" applyFont="1" applyFill="1" applyBorder="1" applyAlignment="1">
      <alignment vertical="center"/>
    </xf>
    <xf numFmtId="0" fontId="26" fillId="13" borderId="20" xfId="0" applyFont="1" applyFill="1" applyBorder="1" applyAlignment="1">
      <alignment vertical="center"/>
    </xf>
    <xf numFmtId="0" fontId="26" fillId="13" borderId="23" xfId="0" applyFont="1" applyFill="1" applyBorder="1" applyAlignment="1">
      <alignment vertical="center"/>
    </xf>
    <xf numFmtId="0" fontId="26" fillId="13" borderId="19" xfId="0" applyFont="1" applyFill="1" applyBorder="1" applyAlignment="1">
      <alignment vertical="center"/>
    </xf>
    <xf numFmtId="0" fontId="21" fillId="0" borderId="34" xfId="0" applyFont="1" applyBorder="1" applyAlignment="1">
      <alignment horizontal="left" vertical="center" indent="1"/>
    </xf>
    <xf numFmtId="0" fontId="21" fillId="0" borderId="38" xfId="0" applyFont="1" applyBorder="1" applyAlignment="1">
      <alignment horizontal="left" vertical="center" indent="1"/>
    </xf>
    <xf numFmtId="0" fontId="11" fillId="13" borderId="9" xfId="0" applyFont="1" applyFill="1" applyBorder="1" applyAlignment="1">
      <alignment horizontal="center" vertical="center"/>
    </xf>
    <xf numFmtId="0" fontId="0" fillId="2" borderId="0" xfId="0" applyFill="1" applyBorder="1" applyAlignment="1">
      <alignment horizontal="left" vertical="center" indent="1"/>
    </xf>
    <xf numFmtId="0" fontId="0" fillId="2" borderId="0" xfId="0" applyFill="1" applyBorder="1" applyAlignment="1">
      <alignment vertical="center"/>
    </xf>
    <xf numFmtId="0" fontId="22" fillId="2" borderId="0" xfId="0" applyFont="1" applyFill="1" applyBorder="1" applyAlignment="1">
      <alignment vertical="center"/>
    </xf>
    <xf numFmtId="171" fontId="22" fillId="2" borderId="0" xfId="0" applyNumberFormat="1" applyFont="1" applyFill="1" applyBorder="1" applyAlignment="1">
      <alignment vertical="center"/>
    </xf>
    <xf numFmtId="0" fontId="33" fillId="0" borderId="0" xfId="0" applyFont="1" applyAlignment="1">
      <alignment vertical="center"/>
    </xf>
    <xf numFmtId="168" fontId="0" fillId="0" borderId="0" xfId="1" applyNumberFormat="1" applyFont="1" applyBorder="1" applyAlignment="1">
      <alignment vertical="center"/>
    </xf>
    <xf numFmtId="168" fontId="22" fillId="0" borderId="0" xfId="1" applyNumberFormat="1" applyFont="1" applyBorder="1" applyAlignment="1">
      <alignment vertical="center"/>
    </xf>
    <xf numFmtId="0" fontId="2" fillId="2" borderId="0" xfId="0" applyFont="1" applyFill="1" applyBorder="1" applyAlignment="1">
      <alignment vertical="center"/>
    </xf>
    <xf numFmtId="0" fontId="4" fillId="2" borderId="0" xfId="0" applyFont="1" applyFill="1" applyBorder="1" applyAlignment="1">
      <alignment horizontal="center" vertical="center"/>
    </xf>
    <xf numFmtId="164" fontId="2" fillId="0" borderId="0" xfId="1" applyFont="1" applyAlignment="1">
      <alignment vertical="center"/>
    </xf>
    <xf numFmtId="10" fontId="2" fillId="0" borderId="0" xfId="1" applyNumberFormat="1" applyFont="1" applyBorder="1" applyAlignment="1">
      <alignment horizontal="center" vertical="center"/>
    </xf>
    <xf numFmtId="0" fontId="2" fillId="2" borderId="0" xfId="0" applyFont="1" applyFill="1" applyBorder="1" applyAlignment="1">
      <alignment horizontal="center" vertical="center"/>
    </xf>
    <xf numFmtId="0" fontId="2" fillId="13" borderId="27" xfId="0" applyFont="1" applyFill="1" applyBorder="1" applyAlignment="1">
      <alignment horizontal="center" vertical="center"/>
    </xf>
    <xf numFmtId="0" fontId="0" fillId="6" borderId="24" xfId="0" applyFill="1" applyBorder="1" applyAlignment="1">
      <alignment vertical="center"/>
    </xf>
    <xf numFmtId="0" fontId="0" fillId="6" borderId="20" xfId="0" applyFill="1" applyBorder="1" applyAlignment="1">
      <alignment vertical="center"/>
    </xf>
    <xf numFmtId="0" fontId="0" fillId="13" borderId="23" xfId="0" applyFill="1" applyBorder="1" applyAlignment="1">
      <alignment horizontal="left" vertical="center"/>
    </xf>
    <xf numFmtId="0" fontId="0" fillId="13" borderId="24" xfId="0" applyFill="1" applyBorder="1" applyAlignment="1">
      <alignment horizontal="left" vertical="center"/>
    </xf>
    <xf numFmtId="0" fontId="0" fillId="13" borderId="7" xfId="0" applyFill="1" applyBorder="1" applyAlignment="1">
      <alignment vertical="center"/>
    </xf>
    <xf numFmtId="0" fontId="0" fillId="13" borderId="0" xfId="0" applyFill="1" applyBorder="1" applyAlignment="1">
      <alignment vertical="center"/>
    </xf>
    <xf numFmtId="0" fontId="0" fillId="13" borderId="14" xfId="0" applyFill="1" applyBorder="1" applyAlignment="1">
      <alignment vertical="center"/>
    </xf>
    <xf numFmtId="0" fontId="2" fillId="13" borderId="3" xfId="0" applyFont="1" applyFill="1" applyBorder="1" applyAlignment="1">
      <alignment horizontal="center" vertical="center" wrapText="1"/>
    </xf>
    <xf numFmtId="0" fontId="29" fillId="13" borderId="6" xfId="0" applyFont="1" applyFill="1" applyBorder="1" applyAlignment="1">
      <alignment horizontal="left" vertical="center" indent="1"/>
    </xf>
    <xf numFmtId="0" fontId="0" fillId="13" borderId="12" xfId="0" applyFill="1" applyBorder="1" applyAlignment="1">
      <alignment horizontal="left" indent="1"/>
    </xf>
    <xf numFmtId="0" fontId="2" fillId="13" borderId="3" xfId="0" applyFont="1" applyFill="1" applyBorder="1" applyAlignment="1">
      <alignment horizontal="center" vertical="top"/>
    </xf>
    <xf numFmtId="0" fontId="2" fillId="13" borderId="11" xfId="0" applyFont="1" applyFill="1" applyBorder="1" applyAlignment="1">
      <alignment horizontal="center" vertical="center" wrapText="1"/>
    </xf>
    <xf numFmtId="167" fontId="0" fillId="13" borderId="11" xfId="1" applyNumberFormat="1" applyFont="1" applyFill="1" applyBorder="1" applyAlignment="1">
      <alignment vertical="center"/>
    </xf>
    <xf numFmtId="0" fontId="2" fillId="13" borderId="69" xfId="0" applyFont="1" applyFill="1" applyBorder="1" applyAlignment="1">
      <alignment horizontal="center" vertical="center"/>
    </xf>
    <xf numFmtId="0" fontId="0" fillId="13" borderId="11" xfId="0" applyFill="1" applyBorder="1" applyAlignment="1">
      <alignment vertical="center"/>
    </xf>
    <xf numFmtId="0" fontId="0" fillId="0" borderId="0" xfId="0" applyAlignment="1">
      <alignment horizontal="right" vertical="center"/>
    </xf>
    <xf numFmtId="0" fontId="0" fillId="13" borderId="11" xfId="0" applyFill="1" applyBorder="1" applyAlignment="1">
      <alignment horizontal="left" vertical="center" indent="1"/>
    </xf>
    <xf numFmtId="0" fontId="4" fillId="13" borderId="24" xfId="0" applyFont="1" applyFill="1" applyBorder="1" applyAlignment="1">
      <alignment horizontal="center" vertical="center"/>
    </xf>
    <xf numFmtId="0" fontId="0" fillId="13" borderId="8" xfId="0" applyFill="1" applyBorder="1" applyAlignment="1">
      <alignment vertical="center"/>
    </xf>
    <xf numFmtId="0" fontId="2" fillId="13" borderId="11" xfId="0" applyFont="1" applyFill="1" applyBorder="1" applyAlignment="1">
      <alignment horizontal="center" vertical="center"/>
    </xf>
    <xf numFmtId="170" fontId="0" fillId="0" borderId="0" xfId="0" applyNumberFormat="1" applyAlignment="1">
      <alignment vertical="center"/>
    </xf>
    <xf numFmtId="170" fontId="2" fillId="0" borderId="9" xfId="0" applyNumberFormat="1" applyFont="1" applyBorder="1" applyAlignment="1">
      <alignment vertical="center"/>
    </xf>
    <xf numFmtId="0" fontId="0" fillId="0" borderId="71" xfId="0" applyBorder="1" applyAlignment="1">
      <alignment vertical="center"/>
    </xf>
    <xf numFmtId="0" fontId="0" fillId="0" borderId="71" xfId="0" applyBorder="1" applyAlignment="1">
      <alignment horizontal="left" vertical="center" indent="1"/>
    </xf>
    <xf numFmtId="0" fontId="0" fillId="0" borderId="71" xfId="0" applyBorder="1" applyAlignment="1">
      <alignment horizontal="center" vertical="center"/>
    </xf>
    <xf numFmtId="0" fontId="2" fillId="16" borderId="59" xfId="0" applyFont="1" applyFill="1" applyBorder="1" applyAlignment="1">
      <alignment horizontal="left" vertical="center" indent="1"/>
    </xf>
    <xf numFmtId="0" fontId="2" fillId="16" borderId="60" xfId="0" applyFont="1" applyFill="1" applyBorder="1" applyAlignment="1">
      <alignment horizontal="left" vertical="center" indent="1"/>
    </xf>
    <xf numFmtId="0" fontId="0" fillId="16" borderId="60" xfId="0" applyFill="1" applyBorder="1" applyAlignment="1">
      <alignment vertical="center"/>
    </xf>
    <xf numFmtId="0" fontId="22" fillId="16" borderId="59" xfId="0" applyFont="1" applyFill="1" applyBorder="1" applyAlignment="1">
      <alignment vertical="center"/>
    </xf>
    <xf numFmtId="0" fontId="22" fillId="16" borderId="59" xfId="0" applyFont="1" applyFill="1" applyBorder="1" applyAlignment="1">
      <alignment horizontal="left" vertical="center" indent="1"/>
    </xf>
    <xf numFmtId="0" fontId="21" fillId="0" borderId="57" xfId="0" applyFont="1" applyBorder="1" applyAlignment="1">
      <alignment horizontal="left" vertical="center" indent="1"/>
    </xf>
    <xf numFmtId="0" fontId="26" fillId="16" borderId="60" xfId="0" applyFont="1" applyFill="1" applyBorder="1" applyAlignment="1">
      <alignment vertical="center"/>
    </xf>
    <xf numFmtId="0" fontId="26" fillId="16" borderId="60" xfId="0" applyFont="1" applyFill="1" applyBorder="1" applyAlignment="1">
      <alignment horizontal="left" vertical="center"/>
    </xf>
    <xf numFmtId="0" fontId="0" fillId="13" borderId="21" xfId="0" applyFont="1" applyFill="1" applyBorder="1" applyAlignment="1">
      <alignment horizontal="center" vertical="center"/>
    </xf>
    <xf numFmtId="0" fontId="0" fillId="13" borderId="28" xfId="0" applyFont="1" applyFill="1" applyBorder="1" applyAlignment="1">
      <alignment horizontal="center" vertical="center"/>
    </xf>
    <xf numFmtId="0" fontId="0" fillId="13" borderId="23" xfId="0" applyFont="1" applyFill="1" applyBorder="1" applyAlignment="1">
      <alignment horizontal="center" vertical="center"/>
    </xf>
    <xf numFmtId="0" fontId="0" fillId="13" borderId="30" xfId="0" applyFont="1" applyFill="1" applyBorder="1" applyAlignment="1">
      <alignment vertical="center"/>
    </xf>
    <xf numFmtId="0" fontId="0" fillId="0" borderId="77" xfId="0" applyBorder="1" applyAlignment="1">
      <alignment vertical="center"/>
    </xf>
    <xf numFmtId="0" fontId="0" fillId="0" borderId="12" xfId="0" applyBorder="1" applyAlignment="1">
      <alignment vertical="center"/>
    </xf>
    <xf numFmtId="0" fontId="2" fillId="0" borderId="0" xfId="0" applyFont="1" applyAlignment="1">
      <alignment horizontal="left" vertical="center" indent="3"/>
    </xf>
    <xf numFmtId="0" fontId="0" fillId="0" borderId="0" xfId="0" applyBorder="1" applyAlignment="1">
      <alignment horizontal="left" indent="2"/>
    </xf>
    <xf numFmtId="0" fontId="2" fillId="13" borderId="3" xfId="0" applyFont="1" applyFill="1" applyBorder="1" applyAlignment="1">
      <alignment horizontal="center" vertical="center"/>
    </xf>
    <xf numFmtId="0" fontId="2" fillId="13" borderId="4" xfId="0" applyFont="1" applyFill="1" applyBorder="1" applyAlignment="1">
      <alignment horizontal="center" vertical="center"/>
    </xf>
    <xf numFmtId="0" fontId="2" fillId="13" borderId="7" xfId="0" applyFont="1" applyFill="1" applyBorder="1" applyAlignment="1">
      <alignment horizontal="center" vertical="center"/>
    </xf>
    <xf numFmtId="0" fontId="2" fillId="13" borderId="8" xfId="0" applyFont="1" applyFill="1" applyBorder="1" applyAlignment="1">
      <alignment horizontal="center" vertical="center"/>
    </xf>
    <xf numFmtId="0" fontId="0" fillId="0" borderId="0" xfId="0" applyBorder="1" applyAlignment="1">
      <alignment horizontal="center" vertical="center"/>
    </xf>
    <xf numFmtId="0" fontId="0" fillId="0" borderId="83" xfId="0" applyBorder="1" applyAlignment="1">
      <alignment vertical="center"/>
    </xf>
    <xf numFmtId="0" fontId="2" fillId="0" borderId="69" xfId="0" applyFont="1" applyBorder="1" applyAlignment="1">
      <alignment horizontal="center" vertical="center"/>
    </xf>
    <xf numFmtId="0" fontId="0" fillId="0" borderId="1" xfId="0" applyBorder="1" applyAlignment="1">
      <alignment vertical="center"/>
    </xf>
    <xf numFmtId="0" fontId="2" fillId="0" borderId="64" xfId="0" applyFont="1" applyBorder="1" applyAlignment="1">
      <alignment horizontal="center" vertical="center"/>
    </xf>
    <xf numFmtId="0" fontId="0" fillId="0" borderId="70" xfId="0" applyBorder="1" applyAlignment="1">
      <alignment vertical="center"/>
    </xf>
    <xf numFmtId="0" fontId="0" fillId="0" borderId="65" xfId="0" applyBorder="1" applyAlignment="1">
      <alignment vertical="center"/>
    </xf>
    <xf numFmtId="0" fontId="0" fillId="0" borderId="85" xfId="0" applyBorder="1" applyAlignment="1">
      <alignment vertical="center"/>
    </xf>
    <xf numFmtId="0" fontId="2" fillId="0" borderId="65"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26" xfId="0" applyFont="1" applyBorder="1" applyAlignment="1">
      <alignment horizontal="center" vertical="center"/>
    </xf>
    <xf numFmtId="0" fontId="0" fillId="0" borderId="11" xfId="0" applyFont="1" applyBorder="1" applyAlignment="1">
      <alignment horizontal="center" vertical="center"/>
    </xf>
    <xf numFmtId="0" fontId="0" fillId="0" borderId="22" xfId="0" applyFont="1" applyBorder="1" applyAlignment="1">
      <alignment horizontal="center" vertical="center"/>
    </xf>
    <xf numFmtId="0" fontId="0" fillId="0" borderId="48" xfId="0" applyFont="1"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83" xfId="0" applyBorder="1" applyAlignment="1">
      <alignment horizontal="center" vertical="center"/>
    </xf>
    <xf numFmtId="0" fontId="0" fillId="0" borderId="15" xfId="0" applyBorder="1" applyAlignment="1">
      <alignment horizontal="center" vertical="center"/>
    </xf>
    <xf numFmtId="0" fontId="0" fillId="0" borderId="82" xfId="0" applyBorder="1" applyAlignment="1">
      <alignment horizontal="center" vertical="center"/>
    </xf>
    <xf numFmtId="0" fontId="0" fillId="0" borderId="0" xfId="0" applyFill="1" applyBorder="1" applyAlignment="1">
      <alignment vertical="center"/>
    </xf>
    <xf numFmtId="0" fontId="0" fillId="2" borderId="0" xfId="0" applyFill="1" applyAlignment="1">
      <alignment vertical="center"/>
    </xf>
    <xf numFmtId="0" fontId="0" fillId="15" borderId="0" xfId="0" applyFill="1" applyAlignment="1">
      <alignment vertical="center"/>
    </xf>
    <xf numFmtId="0" fontId="8" fillId="15" borderId="0" xfId="0" applyFont="1" applyFill="1" applyAlignment="1">
      <alignment vertical="center"/>
    </xf>
    <xf numFmtId="0" fontId="29" fillId="13" borderId="2" xfId="0" applyFont="1" applyFill="1" applyBorder="1" applyAlignment="1">
      <alignment horizontal="left" vertical="center" indent="1"/>
    </xf>
    <xf numFmtId="0" fontId="29" fillId="13" borderId="0" xfId="0" applyFont="1" applyFill="1" applyBorder="1" applyAlignment="1">
      <alignment horizontal="left" vertical="center" indent="1"/>
    </xf>
    <xf numFmtId="0" fontId="0" fillId="13" borderId="14" xfId="0" applyFill="1" applyBorder="1" applyAlignment="1">
      <alignment horizontal="left" indent="1"/>
    </xf>
    <xf numFmtId="0" fontId="29" fillId="13" borderId="24" xfId="0" applyFont="1" applyFill="1" applyBorder="1" applyAlignment="1">
      <alignment horizontal="left" vertical="center" indent="1"/>
    </xf>
    <xf numFmtId="0" fontId="2" fillId="13" borderId="0" xfId="0" applyFont="1" applyFill="1" applyBorder="1" applyAlignment="1">
      <alignment horizontal="center" vertical="center"/>
    </xf>
    <xf numFmtId="0" fontId="0" fillId="13" borderId="17" xfId="0" applyFont="1" applyFill="1" applyBorder="1" applyAlignment="1">
      <alignment horizontal="center" vertical="center"/>
    </xf>
    <xf numFmtId="0" fontId="0" fillId="13" borderId="20" xfId="0" applyFont="1" applyFill="1" applyBorder="1" applyAlignment="1">
      <alignment horizontal="center" vertical="center"/>
    </xf>
    <xf numFmtId="0" fontId="0" fillId="13" borderId="22" xfId="0" applyFont="1" applyFill="1" applyBorder="1" applyAlignment="1">
      <alignment horizontal="center" vertical="center"/>
    </xf>
    <xf numFmtId="0" fontId="21" fillId="13" borderId="65" xfId="0" applyFont="1" applyFill="1" applyBorder="1" applyAlignment="1">
      <alignment horizontal="left" vertical="center" indent="1"/>
    </xf>
    <xf numFmtId="0" fontId="25" fillId="13" borderId="24" xfId="0" applyFont="1" applyFill="1" applyBorder="1" applyAlignment="1">
      <alignment horizontal="left" vertical="center" indent="1"/>
    </xf>
    <xf numFmtId="0" fontId="0" fillId="13" borderId="20" xfId="0" applyFont="1" applyFill="1" applyBorder="1" applyAlignment="1">
      <alignment vertical="center"/>
    </xf>
    <xf numFmtId="0" fontId="0" fillId="13" borderId="48" xfId="0" applyFont="1" applyFill="1" applyBorder="1" applyAlignment="1">
      <alignment horizontal="center" vertical="center"/>
    </xf>
    <xf numFmtId="0" fontId="0" fillId="13" borderId="62" xfId="0" applyFont="1" applyFill="1" applyBorder="1" applyAlignment="1">
      <alignment horizontal="center" vertical="center"/>
    </xf>
    <xf numFmtId="0" fontId="21" fillId="13" borderId="24" xfId="0" applyFont="1" applyFill="1" applyBorder="1" applyAlignment="1">
      <alignment vertical="center"/>
    </xf>
    <xf numFmtId="0" fontId="21" fillId="13" borderId="22" xfId="0" applyFont="1" applyFill="1" applyBorder="1" applyAlignment="1">
      <alignment horizontal="center" vertical="center"/>
    </xf>
    <xf numFmtId="0" fontId="21" fillId="13" borderId="17" xfId="0" applyFont="1" applyFill="1" applyBorder="1" applyAlignment="1">
      <alignment horizontal="center" vertical="center"/>
    </xf>
    <xf numFmtId="0" fontId="21" fillId="13" borderId="20" xfId="0" applyFont="1" applyFill="1" applyBorder="1" applyAlignment="1">
      <alignment horizontal="center" vertical="center"/>
    </xf>
    <xf numFmtId="0" fontId="21" fillId="13" borderId="62" xfId="0" applyFont="1" applyFill="1" applyBorder="1" applyAlignment="1">
      <alignment horizontal="center" vertical="center"/>
    </xf>
    <xf numFmtId="0" fontId="21" fillId="13" borderId="47" xfId="0" applyFont="1" applyFill="1" applyBorder="1" applyAlignment="1">
      <alignment horizontal="left" vertical="center" indent="1"/>
    </xf>
    <xf numFmtId="0" fontId="21" fillId="13" borderId="24" xfId="0" applyFont="1" applyFill="1" applyBorder="1" applyAlignment="1">
      <alignment horizontal="left" vertical="center" indent="1"/>
    </xf>
    <xf numFmtId="0" fontId="4" fillId="2" borderId="0" xfId="0" applyFont="1" applyFill="1" applyBorder="1" applyAlignment="1">
      <alignment vertical="center" wrapText="1"/>
    </xf>
    <xf numFmtId="0" fontId="0" fillId="13" borderId="34" xfId="0" applyFill="1" applyBorder="1" applyAlignment="1">
      <alignment horizontal="left" vertical="center" indent="1"/>
    </xf>
    <xf numFmtId="0" fontId="0" fillId="13" borderId="43" xfId="0" applyFill="1" applyBorder="1" applyAlignment="1">
      <alignment vertical="center"/>
    </xf>
    <xf numFmtId="167" fontId="2" fillId="13" borderId="43" xfId="1" applyNumberFormat="1" applyFont="1" applyFill="1" applyBorder="1" applyAlignment="1">
      <alignment horizontal="center" vertical="center"/>
    </xf>
    <xf numFmtId="0" fontId="2" fillId="13" borderId="43" xfId="0" applyFont="1" applyFill="1" applyBorder="1" applyAlignment="1">
      <alignment horizontal="center" vertical="center" wrapText="1"/>
    </xf>
    <xf numFmtId="167" fontId="2" fillId="13" borderId="33" xfId="1" applyNumberFormat="1" applyFont="1" applyFill="1" applyBorder="1" applyAlignment="1">
      <alignment horizontal="center" vertical="center"/>
    </xf>
    <xf numFmtId="167" fontId="0" fillId="13" borderId="43" xfId="1" applyNumberFormat="1" applyFont="1" applyFill="1" applyBorder="1" applyAlignment="1">
      <alignment vertical="center"/>
    </xf>
    <xf numFmtId="171" fontId="0" fillId="0" borderId="21" xfId="0" applyNumberFormat="1" applyBorder="1" applyAlignment="1">
      <alignment vertical="center"/>
    </xf>
    <xf numFmtId="171" fontId="0" fillId="0" borderId="7" xfId="0" applyNumberFormat="1" applyBorder="1" applyAlignment="1">
      <alignment vertical="center"/>
    </xf>
    <xf numFmtId="0" fontId="0" fillId="2" borderId="0" xfId="0" applyFont="1" applyFill="1" applyBorder="1" applyAlignment="1">
      <alignment horizontal="center" vertical="center"/>
    </xf>
    <xf numFmtId="0" fontId="0" fillId="2" borderId="0" xfId="0" applyFont="1" applyFill="1" applyBorder="1" applyAlignment="1">
      <alignment vertical="center"/>
    </xf>
    <xf numFmtId="10" fontId="37" fillId="2" borderId="0" xfId="1" applyNumberFormat="1" applyFont="1" applyFill="1" applyBorder="1" applyAlignment="1">
      <alignment horizontal="center" vertical="center"/>
    </xf>
    <xf numFmtId="0" fontId="5" fillId="2" borderId="15" xfId="0" applyFont="1" applyFill="1" applyBorder="1" applyAlignment="1">
      <alignment vertical="center"/>
    </xf>
    <xf numFmtId="169" fontId="22" fillId="16" borderId="50" xfId="1" applyNumberFormat="1" applyFont="1" applyFill="1" applyBorder="1" applyAlignment="1">
      <alignment horizontal="center" vertical="center"/>
    </xf>
    <xf numFmtId="0" fontId="2" fillId="13" borderId="7" xfId="0" applyFont="1" applyFill="1" applyBorder="1" applyAlignment="1">
      <alignment horizontal="center" vertical="top"/>
    </xf>
    <xf numFmtId="0" fontId="2" fillId="13" borderId="0" xfId="0" applyFont="1" applyFill="1" applyBorder="1" applyAlignment="1">
      <alignment horizontal="center" vertical="top"/>
    </xf>
    <xf numFmtId="0" fontId="2" fillId="13" borderId="0" xfId="0" applyFont="1" applyFill="1" applyBorder="1" applyAlignment="1">
      <alignment horizontal="center" vertical="top" wrapText="1"/>
    </xf>
    <xf numFmtId="0" fontId="2" fillId="13" borderId="11" xfId="0" applyFont="1" applyFill="1" applyBorder="1" applyAlignment="1">
      <alignment horizontal="center" vertical="top"/>
    </xf>
    <xf numFmtId="0" fontId="0" fillId="13" borderId="22" xfId="0" applyFont="1" applyFill="1" applyBorder="1" applyAlignment="1">
      <alignment vertical="center"/>
    </xf>
    <xf numFmtId="0" fontId="8" fillId="15" borderId="0" xfId="0" applyFont="1" applyFill="1" applyAlignment="1">
      <alignment horizontal="right" vertical="center"/>
    </xf>
    <xf numFmtId="0" fontId="22" fillId="16" borderId="23" xfId="0" applyFont="1" applyFill="1" applyBorder="1" applyAlignment="1">
      <alignment horizontal="left" vertical="center" indent="1"/>
    </xf>
    <xf numFmtId="0" fontId="0" fillId="16" borderId="23" xfId="0" applyFill="1" applyBorder="1" applyAlignment="1">
      <alignment vertical="center"/>
    </xf>
    <xf numFmtId="0" fontId="22" fillId="16" borderId="21" xfId="0" applyFont="1" applyFill="1" applyBorder="1" applyAlignment="1">
      <alignment vertical="center"/>
    </xf>
    <xf numFmtId="0" fontId="22" fillId="16" borderId="23" xfId="0" applyFont="1" applyFill="1" applyBorder="1" applyAlignment="1">
      <alignment vertical="center"/>
    </xf>
    <xf numFmtId="0" fontId="22" fillId="16" borderId="19" xfId="0" applyFont="1" applyFill="1" applyBorder="1" applyAlignment="1">
      <alignment vertical="center"/>
    </xf>
    <xf numFmtId="0" fontId="22" fillId="16" borderId="59" xfId="0" applyFont="1" applyFill="1" applyBorder="1" applyAlignment="1">
      <alignment horizontal="left" vertical="center" indent="2"/>
    </xf>
    <xf numFmtId="0" fontId="22" fillId="16" borderId="76" xfId="0" applyFont="1" applyFill="1" applyBorder="1" applyAlignment="1">
      <alignment vertical="center"/>
    </xf>
    <xf numFmtId="0" fontId="22" fillId="16" borderId="60" xfId="0" applyFont="1" applyFill="1" applyBorder="1" applyAlignment="1">
      <alignment vertical="center"/>
    </xf>
    <xf numFmtId="0" fontId="22" fillId="16" borderId="60" xfId="0" applyFont="1" applyFill="1" applyBorder="1" applyAlignment="1">
      <alignment horizontal="left" vertical="center" indent="1"/>
    </xf>
    <xf numFmtId="0" fontId="0" fillId="16" borderId="76" xfId="0" applyFill="1" applyBorder="1" applyAlignment="1">
      <alignment vertical="center"/>
    </xf>
    <xf numFmtId="168" fontId="2" fillId="16" borderId="75" xfId="0" applyNumberFormat="1" applyFont="1" applyFill="1" applyBorder="1" applyAlignment="1">
      <alignment vertical="center"/>
    </xf>
    <xf numFmtId="168" fontId="37" fillId="0" borderId="7" xfId="1" applyNumberFormat="1" applyFont="1" applyBorder="1" applyAlignment="1">
      <alignment vertical="center"/>
    </xf>
    <xf numFmtId="168" fontId="37" fillId="0" borderId="11" xfId="1" applyNumberFormat="1" applyFont="1" applyBorder="1" applyAlignment="1">
      <alignment vertical="center"/>
    </xf>
    <xf numFmtId="168" fontId="37" fillId="0" borderId="22" xfId="1" applyNumberFormat="1" applyFont="1" applyBorder="1" applyAlignment="1">
      <alignment vertical="center"/>
    </xf>
    <xf numFmtId="168" fontId="37" fillId="0" borderId="17" xfId="1" applyNumberFormat="1" applyFont="1" applyBorder="1" applyAlignment="1">
      <alignment vertical="center"/>
    </xf>
    <xf numFmtId="168" fontId="37" fillId="2" borderId="7" xfId="1" applyNumberFormat="1" applyFont="1" applyFill="1" applyBorder="1" applyAlignment="1">
      <alignment vertical="center"/>
    </xf>
    <xf numFmtId="168" fontId="37" fillId="2" borderId="11" xfId="1" applyNumberFormat="1" applyFont="1" applyFill="1" applyBorder="1" applyAlignment="1">
      <alignment vertical="center"/>
    </xf>
    <xf numFmtId="168" fontId="22" fillId="16" borderId="67" xfId="1" applyNumberFormat="1" applyFont="1" applyFill="1" applyBorder="1" applyAlignment="1">
      <alignment vertical="center"/>
    </xf>
    <xf numFmtId="0" fontId="37" fillId="16" borderId="60" xfId="0" applyFont="1" applyFill="1" applyBorder="1" applyAlignment="1">
      <alignment vertical="center"/>
    </xf>
    <xf numFmtId="0" fontId="22" fillId="16" borderId="60" xfId="0" applyFont="1" applyFill="1" applyBorder="1" applyAlignment="1">
      <alignment horizontal="left" vertical="center" indent="2"/>
    </xf>
    <xf numFmtId="0" fontId="22" fillId="16" borderId="77" xfId="0" applyFont="1" applyFill="1" applyBorder="1" applyAlignment="1">
      <alignment horizontal="left" vertical="center" indent="1"/>
    </xf>
    <xf numFmtId="167" fontId="6" fillId="16" borderId="49" xfId="1" applyNumberFormat="1" applyFont="1" applyFill="1" applyBorder="1" applyAlignment="1">
      <alignment horizontal="center" vertical="center"/>
    </xf>
    <xf numFmtId="0" fontId="39" fillId="13" borderId="1" xfId="0" applyFont="1" applyFill="1" applyBorder="1" applyAlignment="1">
      <alignment horizontal="left" vertical="center" indent="1"/>
    </xf>
    <xf numFmtId="0" fontId="39" fillId="13" borderId="64" xfId="0" applyFont="1" applyFill="1" applyBorder="1" applyAlignment="1">
      <alignment horizontal="left" vertical="center" indent="1"/>
    </xf>
    <xf numFmtId="0" fontId="39" fillId="13" borderId="6" xfId="0" applyFont="1" applyFill="1" applyBorder="1" applyAlignment="1">
      <alignment horizontal="left" vertical="center" indent="1"/>
    </xf>
    <xf numFmtId="0" fontId="41" fillId="0" borderId="0" xfId="0" applyFont="1" applyAlignment="1">
      <alignment horizontal="left" indent="1"/>
    </xf>
    <xf numFmtId="0" fontId="0" fillId="17" borderId="9" xfId="0" applyFill="1" applyBorder="1"/>
    <xf numFmtId="0" fontId="37" fillId="6" borderId="9" xfId="0" applyFont="1" applyFill="1" applyBorder="1" applyAlignment="1">
      <alignment horizontal="center" vertical="center" textRotation="90" wrapText="1"/>
    </xf>
    <xf numFmtId="0" fontId="37" fillId="2" borderId="0" xfId="0" applyFont="1" applyFill="1" applyBorder="1" applyAlignment="1">
      <alignment horizontal="center" vertical="center" textRotation="90" wrapText="1"/>
    </xf>
    <xf numFmtId="0" fontId="0" fillId="2" borderId="0" xfId="0" applyFill="1" applyBorder="1"/>
    <xf numFmtId="0" fontId="0" fillId="0" borderId="21" xfId="0" applyBorder="1"/>
    <xf numFmtId="0" fontId="0" fillId="0" borderId="23" xfId="0" applyBorder="1"/>
    <xf numFmtId="0" fontId="0" fillId="0" borderId="19" xfId="0" applyBorder="1"/>
    <xf numFmtId="0" fontId="0" fillId="0" borderId="7" xfId="0" applyBorder="1"/>
    <xf numFmtId="0" fontId="27" fillId="0" borderId="0" xfId="0" applyFont="1" applyBorder="1"/>
    <xf numFmtId="0" fontId="0" fillId="0" borderId="8" xfId="0" applyBorder="1"/>
    <xf numFmtId="0" fontId="42" fillId="0" borderId="0" xfId="0" applyFont="1" applyBorder="1" applyAlignment="1">
      <alignment horizontal="center" vertical="center"/>
    </xf>
    <xf numFmtId="0" fontId="0" fillId="0" borderId="22" xfId="0" applyBorder="1"/>
    <xf numFmtId="0" fontId="0" fillId="0" borderId="24" xfId="0" applyBorder="1"/>
    <xf numFmtId="0" fontId="0" fillId="0" borderId="20" xfId="0" applyBorder="1"/>
    <xf numFmtId="0" fontId="43" fillId="0" borderId="0" xfId="0" applyFont="1" applyBorder="1"/>
    <xf numFmtId="0" fontId="37" fillId="6" borderId="28" xfId="0" applyFont="1" applyFill="1" applyBorder="1" applyAlignment="1">
      <alignment horizontal="center" vertical="center" textRotation="90" wrapText="1"/>
    </xf>
    <xf numFmtId="0" fontId="0" fillId="17" borderId="28" xfId="0" applyFill="1" applyBorder="1" applyAlignment="1">
      <alignment horizontal="center"/>
    </xf>
    <xf numFmtId="0" fontId="0" fillId="6" borderId="11" xfId="0" applyFill="1" applyBorder="1" applyAlignment="1">
      <alignment horizontal="center"/>
    </xf>
    <xf numFmtId="0" fontId="0" fillId="0" borderId="79" xfId="0" applyBorder="1"/>
    <xf numFmtId="0" fontId="0" fillId="0" borderId="71" xfId="0" applyBorder="1"/>
    <xf numFmtId="0" fontId="0" fillId="0" borderId="39" xfId="0" applyBorder="1"/>
    <xf numFmtId="0" fontId="3" fillId="0" borderId="0" xfId="0" applyFont="1"/>
    <xf numFmtId="171" fontId="0" fillId="0" borderId="22" xfId="0" applyNumberFormat="1" applyBorder="1" applyAlignment="1">
      <alignment vertical="center"/>
    </xf>
    <xf numFmtId="0" fontId="21" fillId="0" borderId="28" xfId="0" applyFont="1" applyBorder="1" applyAlignment="1">
      <alignment vertical="center"/>
    </xf>
    <xf numFmtId="0" fontId="21" fillId="0" borderId="11" xfId="0" applyFont="1" applyBorder="1" applyAlignment="1">
      <alignment vertical="center"/>
    </xf>
    <xf numFmtId="168" fontId="0" fillId="2" borderId="9" xfId="1" applyNumberFormat="1" applyFont="1" applyFill="1" applyBorder="1" applyAlignment="1">
      <alignment horizontal="center" vertical="center"/>
    </xf>
    <xf numFmtId="0" fontId="0" fillId="6" borderId="35" xfId="0" applyFill="1" applyBorder="1" applyAlignment="1">
      <alignment horizontal="left" vertical="center"/>
    </xf>
    <xf numFmtId="0" fontId="0" fillId="6" borderId="42" xfId="0" applyFill="1" applyBorder="1" applyAlignment="1">
      <alignment horizontal="left" vertical="center"/>
    </xf>
    <xf numFmtId="0" fontId="0" fillId="6" borderId="39" xfId="0" applyFill="1" applyBorder="1" applyAlignment="1">
      <alignment horizontal="left" vertical="center"/>
    </xf>
    <xf numFmtId="0" fontId="0" fillId="6" borderId="81" xfId="0" applyFill="1" applyBorder="1" applyAlignment="1">
      <alignment horizontal="left" vertical="center"/>
    </xf>
    <xf numFmtId="0" fontId="0" fillId="16" borderId="28" xfId="0" applyFill="1" applyBorder="1"/>
    <xf numFmtId="0" fontId="0" fillId="17" borderId="28" xfId="0" applyFill="1" applyBorder="1"/>
    <xf numFmtId="0" fontId="0" fillId="17" borderId="21" xfId="0" applyFill="1" applyBorder="1"/>
    <xf numFmtId="0" fontId="0" fillId="17" borderId="89" xfId="0" applyFill="1" applyBorder="1"/>
    <xf numFmtId="0" fontId="4" fillId="17" borderId="87" xfId="0" applyFont="1" applyFill="1" applyBorder="1" applyAlignment="1">
      <alignment horizontal="center" vertical="center"/>
    </xf>
    <xf numFmtId="0" fontId="0" fillId="17" borderId="88" xfId="0" applyFill="1" applyBorder="1"/>
    <xf numFmtId="0" fontId="42" fillId="16" borderId="23" xfId="0" applyFont="1" applyFill="1" applyBorder="1" applyAlignment="1">
      <alignment horizontal="center" vertical="center"/>
    </xf>
    <xf numFmtId="0" fontId="0" fillId="16" borderId="23" xfId="0" applyFill="1" applyBorder="1"/>
    <xf numFmtId="0" fontId="0" fillId="16" borderId="89" xfId="0" applyFill="1" applyBorder="1"/>
    <xf numFmtId="0" fontId="42" fillId="16" borderId="88" xfId="0" applyFont="1" applyFill="1" applyBorder="1" applyAlignment="1">
      <alignment horizontal="center" vertical="center"/>
    </xf>
    <xf numFmtId="0" fontId="0" fillId="16" borderId="88" xfId="0" applyFill="1" applyBorder="1" applyAlignment="1">
      <alignment horizontal="center" vertical="center"/>
    </xf>
    <xf numFmtId="0" fontId="0" fillId="16" borderId="88" xfId="0" applyFill="1" applyBorder="1"/>
    <xf numFmtId="0" fontId="42" fillId="17" borderId="23" xfId="0" applyFont="1" applyFill="1" applyBorder="1" applyAlignment="1">
      <alignment horizontal="center" vertical="center"/>
    </xf>
    <xf numFmtId="0" fontId="0" fillId="17" borderId="19" xfId="0" applyFill="1" applyBorder="1"/>
    <xf numFmtId="0" fontId="42" fillId="17" borderId="88" xfId="0" applyFont="1" applyFill="1" applyBorder="1" applyAlignment="1">
      <alignment horizontal="center" vertical="center"/>
    </xf>
    <xf numFmtId="0" fontId="0" fillId="17" borderId="18" xfId="0" applyFill="1" applyBorder="1" applyAlignment="1">
      <alignment horizontal="center" vertical="center"/>
    </xf>
    <xf numFmtId="0" fontId="0" fillId="17" borderId="90" xfId="0" applyFill="1" applyBorder="1"/>
    <xf numFmtId="0" fontId="0" fillId="17" borderId="23" xfId="0" applyFill="1" applyBorder="1"/>
    <xf numFmtId="0" fontId="0" fillId="17" borderId="88" xfId="0" applyFill="1" applyBorder="1" applyAlignment="1">
      <alignment horizontal="center" vertical="center"/>
    </xf>
    <xf numFmtId="0" fontId="42" fillId="0" borderId="0" xfId="0" applyFont="1" applyBorder="1" applyAlignment="1">
      <alignment horizontal="right" vertical="center"/>
    </xf>
    <xf numFmtId="0" fontId="0" fillId="0" borderId="8" xfId="0" applyBorder="1" applyAlignment="1">
      <alignment horizontal="right"/>
    </xf>
    <xf numFmtId="0" fontId="0" fillId="0" borderId="0" xfId="0" applyFont="1"/>
    <xf numFmtId="164" fontId="22" fillId="16" borderId="68" xfId="1" applyNumberFormat="1" applyFont="1" applyFill="1" applyBorder="1" applyAlignment="1">
      <alignment vertical="center"/>
    </xf>
    <xf numFmtId="164" fontId="0" fillId="0" borderId="43" xfId="1" applyNumberFormat="1" applyFont="1" applyBorder="1" applyAlignment="1">
      <alignment vertical="center"/>
    </xf>
    <xf numFmtId="164" fontId="0" fillId="0" borderId="44" xfId="1" applyNumberFormat="1" applyFont="1" applyBorder="1" applyAlignment="1">
      <alignment vertical="center"/>
    </xf>
    <xf numFmtId="164" fontId="0" fillId="0" borderId="58" xfId="1" applyNumberFormat="1" applyFont="1" applyBorder="1" applyAlignment="1">
      <alignment vertical="center"/>
    </xf>
    <xf numFmtId="164" fontId="0" fillId="0" borderId="45" xfId="1" applyNumberFormat="1" applyFont="1" applyBorder="1" applyAlignment="1">
      <alignment vertical="center"/>
    </xf>
    <xf numFmtId="164" fontId="2" fillId="16" borderId="68" xfId="1" applyNumberFormat="1" applyFont="1" applyFill="1" applyBorder="1" applyAlignment="1">
      <alignment vertical="center"/>
    </xf>
    <xf numFmtId="164" fontId="0" fillId="2" borderId="43" xfId="1" applyNumberFormat="1" applyFont="1" applyFill="1" applyBorder="1" applyAlignment="1">
      <alignment vertical="center"/>
    </xf>
    <xf numFmtId="164" fontId="0" fillId="2" borderId="44" xfId="1" applyNumberFormat="1" applyFont="1" applyFill="1" applyBorder="1" applyAlignment="1">
      <alignment vertical="center"/>
    </xf>
    <xf numFmtId="164" fontId="0" fillId="2" borderId="58" xfId="1" applyNumberFormat="1" applyFont="1" applyFill="1" applyBorder="1" applyAlignment="1">
      <alignment vertical="center"/>
    </xf>
    <xf numFmtId="164" fontId="0" fillId="0" borderId="46" xfId="1" applyNumberFormat="1" applyFont="1" applyBorder="1" applyAlignment="1">
      <alignment vertical="center"/>
    </xf>
    <xf numFmtId="164" fontId="37" fillId="0" borderId="43" xfId="1" applyNumberFormat="1" applyFont="1" applyBorder="1" applyAlignment="1">
      <alignment vertical="center"/>
    </xf>
    <xf numFmtId="164" fontId="37" fillId="0" borderId="44" xfId="1" applyNumberFormat="1" applyFont="1" applyBorder="1" applyAlignment="1">
      <alignment vertical="center"/>
    </xf>
    <xf numFmtId="164" fontId="37" fillId="0" borderId="58" xfId="1" applyNumberFormat="1" applyFont="1" applyBorder="1" applyAlignment="1">
      <alignment vertical="center"/>
    </xf>
    <xf numFmtId="164" fontId="19" fillId="16" borderId="67" xfId="0" applyNumberFormat="1" applyFont="1" applyFill="1" applyBorder="1" applyAlignment="1">
      <alignment vertical="center"/>
    </xf>
    <xf numFmtId="164" fontId="26" fillId="16" borderId="60" xfId="1" applyNumberFormat="1" applyFont="1" applyFill="1" applyBorder="1" applyAlignment="1">
      <alignment vertical="center"/>
    </xf>
    <xf numFmtId="164" fontId="21" fillId="2" borderId="0" xfId="1" applyNumberFormat="1" applyFont="1" applyFill="1" applyBorder="1" applyAlignment="1">
      <alignment vertical="center"/>
    </xf>
    <xf numFmtId="164" fontId="22" fillId="16" borderId="68" xfId="0" applyNumberFormat="1" applyFont="1" applyFill="1" applyBorder="1" applyAlignment="1">
      <alignment vertical="center"/>
    </xf>
    <xf numFmtId="164" fontId="37" fillId="0" borderId="53" xfId="0" applyNumberFormat="1" applyFont="1" applyBorder="1" applyAlignment="1">
      <alignment vertical="center"/>
    </xf>
    <xf numFmtId="164" fontId="37" fillId="0" borderId="55" xfId="0" applyNumberFormat="1" applyFont="1" applyBorder="1" applyAlignment="1">
      <alignment vertical="center"/>
    </xf>
    <xf numFmtId="164" fontId="37" fillId="0" borderId="45" xfId="1" applyNumberFormat="1" applyFont="1" applyBorder="1" applyAlignment="1">
      <alignment vertical="center"/>
    </xf>
    <xf numFmtId="164" fontId="37" fillId="0" borderId="56" xfId="0" applyNumberFormat="1" applyFont="1" applyBorder="1" applyAlignment="1">
      <alignment vertical="center"/>
    </xf>
    <xf numFmtId="164" fontId="0" fillId="13" borderId="43" xfId="1" applyNumberFormat="1" applyFont="1" applyFill="1" applyBorder="1" applyAlignment="1">
      <alignment vertical="center"/>
    </xf>
    <xf numFmtId="164" fontId="0" fillId="13" borderId="53" xfId="0" applyNumberFormat="1" applyFill="1" applyBorder="1" applyAlignment="1">
      <alignment vertical="center"/>
    </xf>
    <xf numFmtId="164" fontId="22" fillId="16" borderId="28" xfId="1" applyNumberFormat="1" applyFont="1" applyFill="1" applyBorder="1" applyAlignment="1">
      <alignment vertical="center"/>
    </xf>
    <xf numFmtId="164" fontId="22" fillId="16" borderId="27" xfId="0" applyNumberFormat="1" applyFont="1" applyFill="1" applyBorder="1" applyAlignment="1">
      <alignment vertical="center"/>
    </xf>
    <xf numFmtId="164" fontId="22" fillId="16" borderId="75" xfId="0" applyNumberFormat="1" applyFont="1" applyFill="1" applyBorder="1" applyAlignment="1">
      <alignment vertical="center"/>
    </xf>
    <xf numFmtId="164" fontId="6" fillId="16" borderId="68" xfId="0" applyNumberFormat="1" applyFont="1" applyFill="1" applyBorder="1" applyAlignment="1">
      <alignment vertical="center"/>
    </xf>
    <xf numFmtId="164" fontId="37" fillId="0" borderId="8" xfId="0" applyNumberFormat="1" applyFont="1" applyBorder="1" applyAlignment="1">
      <alignment vertical="center"/>
    </xf>
    <xf numFmtId="164" fontId="0" fillId="2" borderId="8" xfId="0" applyNumberFormat="1" applyFill="1" applyBorder="1" applyAlignment="1">
      <alignment vertical="center"/>
    </xf>
    <xf numFmtId="164" fontId="22" fillId="16" borderId="67" xfId="0" applyNumberFormat="1" applyFont="1" applyFill="1" applyBorder="1" applyAlignment="1">
      <alignment vertical="center"/>
    </xf>
    <xf numFmtId="164" fontId="37" fillId="0" borderId="27" xfId="0" applyNumberFormat="1" applyFont="1" applyBorder="1" applyAlignment="1">
      <alignment vertical="center"/>
    </xf>
    <xf numFmtId="164" fontId="37" fillId="0" borderId="27" xfId="1" applyNumberFormat="1" applyFont="1" applyBorder="1" applyAlignment="1">
      <alignment vertical="center"/>
    </xf>
    <xf numFmtId="164" fontId="37" fillId="0" borderId="48" xfId="1" applyNumberFormat="1" applyFont="1" applyBorder="1" applyAlignment="1">
      <alignment vertical="center"/>
    </xf>
    <xf numFmtId="0" fontId="0" fillId="0" borderId="0" xfId="0" applyAlignment="1" applyProtection="1">
      <alignment vertical="center"/>
    </xf>
    <xf numFmtId="0" fontId="30" fillId="0" borderId="0" xfId="0" applyFont="1" applyAlignment="1" applyProtection="1">
      <alignment vertical="center"/>
    </xf>
    <xf numFmtId="0" fontId="34" fillId="2" borderId="0" xfId="0" applyFont="1" applyFill="1" applyBorder="1" applyAlignment="1" applyProtection="1">
      <alignment horizontal="left" vertical="center" indent="1"/>
    </xf>
    <xf numFmtId="0" fontId="2" fillId="0" borderId="0" xfId="0" applyFont="1" applyAlignment="1" applyProtection="1">
      <alignment horizontal="center" vertical="center"/>
    </xf>
    <xf numFmtId="0" fontId="26" fillId="0" borderId="0" xfId="0" applyFont="1" applyAlignment="1" applyProtection="1">
      <alignment vertical="center"/>
    </xf>
    <xf numFmtId="0" fontId="29" fillId="13" borderId="1" xfId="0" applyFont="1" applyFill="1" applyBorder="1" applyAlignment="1" applyProtection="1">
      <alignment horizontal="left" vertical="center" indent="1"/>
    </xf>
    <xf numFmtId="0" fontId="0" fillId="13" borderId="2" xfId="0" applyFill="1" applyBorder="1" applyAlignment="1" applyProtection="1">
      <alignment vertical="center"/>
    </xf>
    <xf numFmtId="167" fontId="0" fillId="13" borderId="51" xfId="0" applyNumberFormat="1" applyFont="1" applyFill="1" applyBorder="1" applyAlignment="1" applyProtection="1">
      <alignment horizontal="center" vertical="center"/>
    </xf>
    <xf numFmtId="167" fontId="0" fillId="13" borderId="63" xfId="0" applyNumberFormat="1" applyFont="1" applyFill="1" applyBorder="1" applyAlignment="1" applyProtection="1">
      <alignment horizontal="center" vertical="center"/>
    </xf>
    <xf numFmtId="0" fontId="0" fillId="0" borderId="52" xfId="0" applyFill="1" applyBorder="1" applyAlignment="1" applyProtection="1">
      <alignment horizontal="left" vertical="center" indent="1"/>
    </xf>
    <xf numFmtId="0" fontId="0" fillId="0" borderId="35" xfId="0" applyFill="1" applyBorder="1" applyAlignment="1" applyProtection="1">
      <alignment vertical="center"/>
    </xf>
    <xf numFmtId="0" fontId="0" fillId="0" borderId="35" xfId="0" applyBorder="1" applyAlignment="1" applyProtection="1">
      <alignment vertical="center"/>
    </xf>
    <xf numFmtId="167" fontId="0" fillId="0" borderId="43" xfId="0" applyNumberFormat="1" applyBorder="1" applyAlignment="1" applyProtection="1">
      <alignment vertical="center"/>
    </xf>
    <xf numFmtId="0" fontId="0" fillId="0" borderId="54" xfId="0" applyFill="1" applyBorder="1" applyAlignment="1" applyProtection="1">
      <alignment horizontal="left" vertical="center" indent="1"/>
    </xf>
    <xf numFmtId="0" fontId="0" fillId="0" borderId="39" xfId="0" applyFill="1" applyBorder="1" applyAlignment="1" applyProtection="1">
      <alignment vertical="center"/>
    </xf>
    <xf numFmtId="0" fontId="0" fillId="0" borderId="39" xfId="0" applyBorder="1" applyAlignment="1" applyProtection="1">
      <alignment vertical="center"/>
    </xf>
    <xf numFmtId="167" fontId="0" fillId="0" borderId="44" xfId="0" applyNumberFormat="1" applyBorder="1" applyAlignment="1" applyProtection="1">
      <alignment vertical="center"/>
    </xf>
    <xf numFmtId="0" fontId="0" fillId="0" borderId="74" xfId="0" applyFill="1" applyBorder="1" applyAlignment="1" applyProtection="1">
      <alignment horizontal="left" vertical="center" indent="1"/>
    </xf>
    <xf numFmtId="0" fontId="0" fillId="0" borderId="71" xfId="0" applyFill="1" applyBorder="1" applyAlignment="1" applyProtection="1">
      <alignment vertical="center"/>
    </xf>
    <xf numFmtId="0" fontId="0" fillId="0" borderId="71" xfId="0" applyBorder="1" applyAlignment="1" applyProtection="1">
      <alignment vertical="center"/>
    </xf>
    <xf numFmtId="167" fontId="0" fillId="0" borderId="58" xfId="0" applyNumberFormat="1" applyBorder="1" applyAlignment="1" applyProtection="1">
      <alignment vertical="center"/>
    </xf>
    <xf numFmtId="0" fontId="6" fillId="16" borderId="59" xfId="0" applyFont="1" applyFill="1" applyBorder="1" applyAlignment="1" applyProtection="1">
      <alignment horizontal="left" vertical="center" indent="1"/>
    </xf>
    <xf numFmtId="0" fontId="6" fillId="16" borderId="60" xfId="0" applyFont="1" applyFill="1" applyBorder="1" applyAlignment="1" applyProtection="1">
      <alignment vertical="center"/>
    </xf>
    <xf numFmtId="167" fontId="22" fillId="16" borderId="67" xfId="0" applyNumberFormat="1" applyFont="1" applyFill="1" applyBorder="1" applyAlignment="1" applyProtection="1">
      <alignment vertical="center"/>
    </xf>
    <xf numFmtId="0" fontId="0" fillId="2" borderId="39" xfId="0" applyFill="1" applyBorder="1" applyAlignment="1" applyProtection="1">
      <alignment vertical="center"/>
    </xf>
    <xf numFmtId="0" fontId="0" fillId="2" borderId="0" xfId="0" applyFill="1" applyAlignment="1" applyProtection="1">
      <alignment vertical="center"/>
    </xf>
    <xf numFmtId="167" fontId="22" fillId="16" borderId="67" xfId="1" applyNumberFormat="1" applyFont="1" applyFill="1" applyBorder="1" applyAlignment="1" applyProtection="1">
      <alignment vertical="center"/>
    </xf>
    <xf numFmtId="0" fontId="0" fillId="0" borderId="0" xfId="0" applyBorder="1" applyAlignment="1" applyProtection="1">
      <alignment vertical="center"/>
    </xf>
    <xf numFmtId="167" fontId="22" fillId="16" borderId="60" xfId="1" applyNumberFormat="1" applyFont="1" applyFill="1" applyBorder="1" applyAlignment="1" applyProtection="1">
      <alignment vertical="center"/>
    </xf>
    <xf numFmtId="167" fontId="21" fillId="13" borderId="51" xfId="0" applyNumberFormat="1" applyFont="1" applyFill="1" applyBorder="1" applyAlignment="1" applyProtection="1">
      <alignment horizontal="center" vertical="center"/>
    </xf>
    <xf numFmtId="167" fontId="21" fillId="13" borderId="63" xfId="0" applyNumberFormat="1" applyFont="1" applyFill="1" applyBorder="1" applyAlignment="1" applyProtection="1">
      <alignment horizontal="center" vertical="center"/>
    </xf>
    <xf numFmtId="0" fontId="0" fillId="0" borderId="52" xfId="0" applyBorder="1" applyAlignment="1" applyProtection="1">
      <alignment horizontal="left" vertical="center" indent="1"/>
    </xf>
    <xf numFmtId="0" fontId="0" fillId="0" borderId="54" xfId="0" applyBorder="1" applyAlignment="1" applyProtection="1">
      <alignment horizontal="left" vertical="center" indent="1"/>
    </xf>
    <xf numFmtId="164" fontId="0" fillId="0" borderId="0" xfId="0" applyNumberFormat="1" applyBorder="1" applyAlignment="1" applyProtection="1">
      <alignment vertical="center"/>
    </xf>
    <xf numFmtId="0" fontId="0" fillId="0" borderId="0" xfId="0" applyFont="1" applyAlignment="1" applyProtection="1">
      <alignment vertical="center"/>
    </xf>
    <xf numFmtId="0" fontId="0" fillId="0" borderId="0" xfId="0" applyAlignment="1" applyProtection="1">
      <alignment vertical="center"/>
      <protection locked="0"/>
    </xf>
    <xf numFmtId="0" fontId="2" fillId="6" borderId="0" xfId="0" applyFont="1" applyFill="1" applyAlignment="1" applyProtection="1">
      <alignment horizontal="center" vertical="center"/>
      <protection locked="0"/>
    </xf>
    <xf numFmtId="0" fontId="0" fillId="0" borderId="9" xfId="0" applyBorder="1" applyAlignment="1" applyProtection="1">
      <alignment vertical="center"/>
      <protection locked="0"/>
    </xf>
    <xf numFmtId="0" fontId="27" fillId="0" borderId="0" xfId="0" applyFont="1" applyAlignment="1" applyProtection="1">
      <alignment vertical="center"/>
    </xf>
    <xf numFmtId="0" fontId="0" fillId="0" borderId="0" xfId="0" applyBorder="1" applyAlignment="1" applyProtection="1">
      <alignment horizontal="left" vertical="center" indent="1"/>
    </xf>
    <xf numFmtId="1" fontId="0" fillId="0" borderId="0" xfId="0" applyNumberFormat="1" applyBorder="1" applyAlignment="1" applyProtection="1">
      <alignment vertical="center"/>
    </xf>
    <xf numFmtId="0" fontId="29" fillId="0" borderId="0" xfId="0" applyFont="1" applyAlignment="1" applyProtection="1">
      <alignment vertical="center"/>
    </xf>
    <xf numFmtId="0" fontId="0" fillId="13" borderId="21" xfId="0" applyFill="1" applyBorder="1" applyAlignment="1" applyProtection="1">
      <alignment vertical="top"/>
    </xf>
    <xf numFmtId="0" fontId="0" fillId="13" borderId="28" xfId="0" applyFill="1" applyBorder="1" applyAlignment="1" applyProtection="1">
      <alignment horizontal="center" vertical="top" wrapText="1"/>
    </xf>
    <xf numFmtId="0" fontId="0" fillId="13" borderId="22" xfId="0" applyFill="1" applyBorder="1" applyAlignment="1" applyProtection="1">
      <alignment vertical="center"/>
    </xf>
    <xf numFmtId="0" fontId="4" fillId="13" borderId="17" xfId="0" applyFont="1" applyFill="1" applyBorder="1" applyAlignment="1" applyProtection="1">
      <alignment horizontal="center" vertical="center"/>
    </xf>
    <xf numFmtId="0" fontId="37" fillId="0" borderId="34" xfId="0" applyFont="1" applyBorder="1" applyAlignment="1" applyProtection="1">
      <alignment horizontal="left" vertical="center" indent="1"/>
    </xf>
    <xf numFmtId="167" fontId="37" fillId="0" borderId="43" xfId="1" applyNumberFormat="1" applyFont="1" applyBorder="1" applyAlignment="1" applyProtection="1">
      <alignment vertical="center"/>
    </xf>
    <xf numFmtId="168" fontId="37" fillId="0" borderId="34" xfId="1" applyNumberFormat="1" applyFont="1" applyBorder="1" applyAlignment="1" applyProtection="1">
      <alignment vertical="center"/>
    </xf>
    <xf numFmtId="167" fontId="37" fillId="2" borderId="34" xfId="1" applyNumberFormat="1" applyFont="1" applyFill="1" applyBorder="1" applyAlignment="1" applyProtection="1">
      <alignment vertical="center"/>
    </xf>
    <xf numFmtId="164" fontId="37" fillId="0" borderId="43" xfId="1" applyNumberFormat="1" applyFont="1" applyBorder="1" applyAlignment="1" applyProtection="1">
      <alignment vertical="center"/>
    </xf>
    <xf numFmtId="0" fontId="37" fillId="0" borderId="38" xfId="0" applyFont="1" applyBorder="1" applyAlignment="1" applyProtection="1">
      <alignment horizontal="left" vertical="center" indent="1"/>
    </xf>
    <xf numFmtId="167" fontId="37" fillId="0" borderId="44" xfId="1" applyNumberFormat="1" applyFont="1" applyBorder="1" applyAlignment="1" applyProtection="1">
      <alignment vertical="center"/>
    </xf>
    <xf numFmtId="167" fontId="37" fillId="2" borderId="38" xfId="1" applyNumberFormat="1" applyFont="1" applyFill="1" applyBorder="1" applyAlignment="1" applyProtection="1">
      <alignment vertical="center"/>
    </xf>
    <xf numFmtId="164" fontId="37" fillId="0" borderId="44" xfId="1" applyNumberFormat="1" applyFont="1" applyBorder="1" applyAlignment="1" applyProtection="1">
      <alignment vertical="center"/>
    </xf>
    <xf numFmtId="167" fontId="37" fillId="0" borderId="57" xfId="1" applyNumberFormat="1" applyFont="1" applyBorder="1" applyAlignment="1" applyProtection="1">
      <alignment vertical="center"/>
    </xf>
    <xf numFmtId="164" fontId="37" fillId="0" borderId="58" xfId="1" applyNumberFormat="1" applyFont="1" applyBorder="1" applyAlignment="1" applyProtection="1">
      <alignment vertical="center"/>
    </xf>
    <xf numFmtId="0" fontId="22" fillId="16" borderId="59" xfId="0" applyFont="1" applyFill="1" applyBorder="1" applyAlignment="1" applyProtection="1">
      <alignment horizontal="left" vertical="center" indent="1"/>
    </xf>
    <xf numFmtId="167" fontId="37" fillId="16" borderId="67" xfId="1" applyNumberFormat="1" applyFont="1" applyFill="1" applyBorder="1" applyAlignment="1" applyProtection="1">
      <alignment vertical="center"/>
    </xf>
    <xf numFmtId="168" fontId="37" fillId="16" borderId="76" xfId="1" applyNumberFormat="1" applyFont="1" applyFill="1" applyBorder="1" applyAlignment="1" applyProtection="1">
      <alignment vertical="center"/>
    </xf>
    <xf numFmtId="167" fontId="37" fillId="16" borderId="60" xfId="1" applyNumberFormat="1" applyFont="1" applyFill="1" applyBorder="1" applyAlignment="1" applyProtection="1">
      <alignment horizontal="center" vertical="center"/>
    </xf>
    <xf numFmtId="164" fontId="22" fillId="16" borderId="68" xfId="1" applyNumberFormat="1" applyFont="1" applyFill="1" applyBorder="1" applyAlignment="1" applyProtection="1">
      <alignment vertical="center"/>
    </xf>
    <xf numFmtId="0" fontId="11" fillId="0" borderId="0" xfId="0" applyFont="1" applyAlignment="1" applyProtection="1">
      <alignment vertical="center"/>
    </xf>
    <xf numFmtId="167" fontId="37" fillId="2" borderId="35" xfId="1" applyNumberFormat="1" applyFont="1" applyFill="1" applyBorder="1" applyAlignment="1" applyProtection="1">
      <alignment vertical="center"/>
    </xf>
    <xf numFmtId="167" fontId="37" fillId="2" borderId="33" xfId="1" applyNumberFormat="1" applyFont="1" applyFill="1" applyBorder="1" applyAlignment="1" applyProtection="1">
      <alignment vertical="center"/>
    </xf>
    <xf numFmtId="168" fontId="37" fillId="0" borderId="43" xfId="1" applyNumberFormat="1" applyFont="1" applyBorder="1" applyAlignment="1" applyProtection="1">
      <alignment vertical="center"/>
    </xf>
    <xf numFmtId="167" fontId="37" fillId="2" borderId="39" xfId="1" applyNumberFormat="1" applyFont="1" applyFill="1" applyBorder="1" applyAlignment="1" applyProtection="1">
      <alignment vertical="center"/>
    </xf>
    <xf numFmtId="167" fontId="37" fillId="2" borderId="37" xfId="1" applyNumberFormat="1" applyFont="1" applyFill="1" applyBorder="1" applyAlignment="1" applyProtection="1">
      <alignment vertical="center"/>
    </xf>
    <xf numFmtId="168" fontId="37" fillId="0" borderId="44" xfId="1" applyNumberFormat="1" applyFont="1" applyBorder="1" applyAlignment="1" applyProtection="1">
      <alignment vertical="center"/>
    </xf>
    <xf numFmtId="168" fontId="37" fillId="0" borderId="58" xfId="1" applyNumberFormat="1" applyFont="1" applyBorder="1" applyAlignment="1" applyProtection="1">
      <alignment vertical="center"/>
    </xf>
    <xf numFmtId="167" fontId="37" fillId="2" borderId="57" xfId="1" applyNumberFormat="1" applyFont="1" applyFill="1" applyBorder="1" applyAlignment="1" applyProtection="1">
      <alignment vertical="center"/>
    </xf>
    <xf numFmtId="0" fontId="35" fillId="0" borderId="0" xfId="0" applyFont="1" applyAlignment="1" applyProtection="1">
      <alignment vertical="center"/>
    </xf>
    <xf numFmtId="0" fontId="35" fillId="13" borderId="21" xfId="0" applyFont="1" applyFill="1" applyBorder="1" applyAlignment="1" applyProtection="1">
      <alignment vertical="center"/>
    </xf>
    <xf numFmtId="0" fontId="0" fillId="13" borderId="23" xfId="0" applyFill="1" applyBorder="1" applyAlignment="1" applyProtection="1">
      <alignment vertical="center"/>
    </xf>
    <xf numFmtId="0" fontId="0" fillId="13" borderId="19" xfId="0" applyFill="1" applyBorder="1" applyAlignment="1" applyProtection="1">
      <alignment vertical="center"/>
    </xf>
    <xf numFmtId="0" fontId="35" fillId="13" borderId="22" xfId="0" applyFont="1" applyFill="1" applyBorder="1" applyAlignment="1" applyProtection="1">
      <alignment vertical="center"/>
    </xf>
    <xf numFmtId="0" fontId="0" fillId="13" borderId="24" xfId="0" applyFill="1" applyBorder="1" applyAlignment="1" applyProtection="1">
      <alignment vertical="center"/>
    </xf>
    <xf numFmtId="0" fontId="0" fillId="13" borderId="20" xfId="0" applyFill="1" applyBorder="1" applyAlignment="1" applyProtection="1">
      <alignment vertical="center"/>
    </xf>
    <xf numFmtId="0" fontId="37" fillId="0" borderId="35" xfId="0" applyFont="1" applyBorder="1" applyAlignment="1" applyProtection="1">
      <alignment vertical="center"/>
    </xf>
    <xf numFmtId="167" fontId="22" fillId="2" borderId="43" xfId="1" applyNumberFormat="1" applyFont="1" applyFill="1" applyBorder="1" applyAlignment="1" applyProtection="1">
      <alignment vertical="center"/>
    </xf>
    <xf numFmtId="0" fontId="45" fillId="0" borderId="38" xfId="0" applyFont="1" applyBorder="1" applyAlignment="1" applyProtection="1">
      <alignment horizontal="left" vertical="center" indent="1"/>
    </xf>
    <xf numFmtId="0" fontId="37" fillId="0" borderId="39" xfId="0" applyFont="1" applyBorder="1" applyAlignment="1" applyProtection="1">
      <alignment vertical="center"/>
    </xf>
    <xf numFmtId="167" fontId="22" fillId="2" borderId="44" xfId="1" applyNumberFormat="1" applyFont="1" applyFill="1" applyBorder="1" applyAlignment="1" applyProtection="1">
      <alignment vertical="center"/>
    </xf>
    <xf numFmtId="167" fontId="22" fillId="2" borderId="17" xfId="1" applyNumberFormat="1" applyFont="1" applyFill="1" applyBorder="1" applyAlignment="1" applyProtection="1">
      <alignment vertical="center"/>
    </xf>
    <xf numFmtId="167" fontId="2" fillId="2" borderId="73" xfId="1" applyNumberFormat="1" applyFont="1" applyFill="1" applyBorder="1" applyAlignment="1" applyProtection="1">
      <alignment vertical="center"/>
    </xf>
    <xf numFmtId="0" fontId="27" fillId="16" borderId="59" xfId="0" applyFont="1" applyFill="1" applyBorder="1" applyAlignment="1" applyProtection="1">
      <alignment horizontal="left" vertical="center" indent="1"/>
    </xf>
    <xf numFmtId="0" fontId="40" fillId="16" borderId="60" xfId="0" applyFont="1" applyFill="1" applyBorder="1" applyAlignment="1" applyProtection="1">
      <alignment vertical="center"/>
    </xf>
    <xf numFmtId="167" fontId="27" fillId="16" borderId="68" xfId="0" applyNumberFormat="1" applyFont="1" applyFill="1" applyBorder="1" applyAlignment="1" applyProtection="1">
      <alignment vertical="center"/>
    </xf>
    <xf numFmtId="167" fontId="37" fillId="6" borderId="43" xfId="1" applyNumberFormat="1" applyFont="1" applyFill="1" applyBorder="1" applyAlignment="1" applyProtection="1">
      <alignment vertical="center"/>
      <protection locked="0"/>
    </xf>
    <xf numFmtId="167" fontId="37" fillId="6" borderId="44" xfId="1" applyNumberFormat="1" applyFont="1" applyFill="1" applyBorder="1" applyAlignment="1" applyProtection="1">
      <alignment vertical="center"/>
      <protection locked="0"/>
    </xf>
    <xf numFmtId="167" fontId="37" fillId="6" borderId="57" xfId="1" applyNumberFormat="1" applyFont="1" applyFill="1" applyBorder="1" applyAlignment="1" applyProtection="1">
      <alignment vertical="center"/>
      <protection locked="0"/>
    </xf>
    <xf numFmtId="167" fontId="37" fillId="6" borderId="58" xfId="1" applyNumberFormat="1" applyFont="1" applyFill="1" applyBorder="1" applyAlignment="1" applyProtection="1">
      <alignment vertical="center"/>
      <protection locked="0"/>
    </xf>
    <xf numFmtId="0" fontId="37" fillId="6" borderId="57" xfId="0" applyFont="1" applyFill="1" applyBorder="1" applyAlignment="1" applyProtection="1">
      <alignment horizontal="left" vertical="center" indent="1"/>
      <protection locked="0"/>
    </xf>
    <xf numFmtId="167" fontId="22" fillId="6" borderId="43" xfId="1" applyNumberFormat="1" applyFont="1" applyFill="1" applyBorder="1" applyAlignment="1" applyProtection="1">
      <alignment vertical="center"/>
      <protection locked="0"/>
    </xf>
    <xf numFmtId="167" fontId="22" fillId="6" borderId="44" xfId="1" applyNumberFormat="1" applyFont="1" applyFill="1" applyBorder="1" applyAlignment="1" applyProtection="1">
      <alignment vertical="center"/>
      <protection locked="0"/>
    </xf>
    <xf numFmtId="167" fontId="22" fillId="6" borderId="17" xfId="1" applyNumberFormat="1" applyFont="1" applyFill="1" applyBorder="1" applyAlignment="1" applyProtection="1">
      <alignment vertical="center"/>
      <protection locked="0"/>
    </xf>
    <xf numFmtId="0" fontId="37" fillId="6" borderId="34" xfId="0" applyFont="1" applyFill="1" applyBorder="1" applyAlignment="1" applyProtection="1">
      <alignment horizontal="left" vertical="center" indent="1"/>
      <protection locked="0"/>
    </xf>
    <xf numFmtId="168" fontId="37" fillId="6" borderId="43" xfId="1" applyNumberFormat="1" applyFont="1" applyFill="1" applyBorder="1" applyAlignment="1" applyProtection="1">
      <alignment vertical="center"/>
      <protection locked="0"/>
    </xf>
    <xf numFmtId="0" fontId="37" fillId="6" borderId="38" xfId="0" applyFont="1" applyFill="1" applyBorder="1" applyAlignment="1" applyProtection="1">
      <alignment horizontal="left" vertical="center" indent="1"/>
      <protection locked="0"/>
    </xf>
    <xf numFmtId="168" fontId="37" fillId="6" borderId="44" xfId="1" applyNumberFormat="1" applyFont="1" applyFill="1" applyBorder="1" applyAlignment="1" applyProtection="1">
      <alignment vertical="center"/>
      <protection locked="0"/>
    </xf>
    <xf numFmtId="0" fontId="37" fillId="6" borderId="41" xfId="0" applyFont="1" applyFill="1" applyBorder="1" applyAlignment="1" applyProtection="1">
      <alignment horizontal="left" vertical="center" indent="1"/>
      <protection locked="0"/>
    </xf>
    <xf numFmtId="168" fontId="37" fillId="6" borderId="45" xfId="1" applyNumberFormat="1" applyFont="1" applyFill="1" applyBorder="1" applyAlignment="1" applyProtection="1">
      <alignment vertical="center"/>
      <protection locked="0"/>
    </xf>
    <xf numFmtId="164" fontId="37" fillId="6" borderId="43" xfId="1" applyNumberFormat="1" applyFont="1" applyFill="1" applyBorder="1" applyAlignment="1" applyProtection="1">
      <alignment vertical="center"/>
      <protection locked="0"/>
    </xf>
    <xf numFmtId="164" fontId="37" fillId="6" borderId="33" xfId="1" applyNumberFormat="1" applyFont="1" applyFill="1" applyBorder="1" applyAlignment="1" applyProtection="1">
      <alignment vertical="center"/>
      <protection locked="0"/>
    </xf>
    <xf numFmtId="164" fontId="37" fillId="6" borderId="44" xfId="1" applyNumberFormat="1" applyFont="1" applyFill="1" applyBorder="1" applyAlignment="1" applyProtection="1">
      <alignment vertical="center"/>
      <protection locked="0"/>
    </xf>
    <xf numFmtId="164" fontId="37" fillId="6" borderId="37" xfId="1" applyNumberFormat="1" applyFont="1" applyFill="1" applyBorder="1" applyAlignment="1" applyProtection="1">
      <alignment vertical="center"/>
      <protection locked="0"/>
    </xf>
    <xf numFmtId="164" fontId="37" fillId="6" borderId="45" xfId="1" applyNumberFormat="1" applyFont="1" applyFill="1" applyBorder="1" applyAlignment="1" applyProtection="1">
      <alignment vertical="center"/>
      <protection locked="0"/>
    </xf>
    <xf numFmtId="164" fontId="37" fillId="6" borderId="40" xfId="1" applyNumberFormat="1" applyFont="1" applyFill="1" applyBorder="1" applyAlignment="1" applyProtection="1">
      <alignment vertical="center"/>
      <protection locked="0"/>
    </xf>
    <xf numFmtId="0" fontId="0" fillId="4" borderId="43" xfId="0" applyFill="1" applyBorder="1" applyAlignment="1" applyProtection="1">
      <alignment horizontal="center" vertical="center"/>
      <protection locked="0"/>
    </xf>
    <xf numFmtId="0" fontId="0" fillId="4" borderId="44" xfId="0"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168" fontId="37" fillId="6" borderId="58" xfId="1" applyNumberFormat="1" applyFont="1" applyFill="1" applyBorder="1" applyAlignment="1" applyProtection="1">
      <alignment vertical="center"/>
      <protection locked="0"/>
    </xf>
    <xf numFmtId="164" fontId="37" fillId="6" borderId="58" xfId="1" applyNumberFormat="1" applyFont="1" applyFill="1" applyBorder="1" applyAlignment="1" applyProtection="1">
      <alignment vertical="center"/>
      <protection locked="0"/>
    </xf>
    <xf numFmtId="164" fontId="37" fillId="6" borderId="72" xfId="1" applyNumberFormat="1" applyFont="1" applyFill="1" applyBorder="1" applyAlignment="1" applyProtection="1">
      <alignment vertical="center"/>
      <protection locked="0"/>
    </xf>
    <xf numFmtId="0" fontId="0" fillId="4" borderId="58" xfId="0" applyFill="1" applyBorder="1" applyAlignment="1" applyProtection="1">
      <alignment horizontal="center" vertical="center"/>
      <protection locked="0"/>
    </xf>
    <xf numFmtId="168" fontId="37" fillId="6" borderId="8" xfId="1" applyNumberFormat="1" applyFont="1" applyFill="1" applyBorder="1" applyAlignment="1" applyProtection="1">
      <alignment vertical="center"/>
      <protection locked="0"/>
    </xf>
    <xf numFmtId="0" fontId="0" fillId="4" borderId="7" xfId="0" applyFill="1" applyBorder="1" applyAlignment="1" applyProtection="1">
      <alignment horizontal="center" vertical="center"/>
      <protection locked="0"/>
    </xf>
    <xf numFmtId="0" fontId="37" fillId="6" borderId="8" xfId="0" applyFont="1" applyFill="1" applyBorder="1" applyAlignment="1" applyProtection="1">
      <alignment horizontal="left" vertical="center" indent="1"/>
      <protection locked="0"/>
    </xf>
    <xf numFmtId="164" fontId="37" fillId="6" borderId="8" xfId="1" applyNumberFormat="1" applyFont="1" applyFill="1" applyBorder="1" applyAlignment="1" applyProtection="1">
      <alignment vertical="center"/>
      <protection locked="0"/>
    </xf>
    <xf numFmtId="0" fontId="37" fillId="6" borderId="20" xfId="0" applyFont="1" applyFill="1" applyBorder="1" applyAlignment="1" applyProtection="1">
      <alignment horizontal="left" vertical="center" indent="1"/>
      <protection locked="0"/>
    </xf>
    <xf numFmtId="168" fontId="37" fillId="6" borderId="20" xfId="1" applyNumberFormat="1" applyFont="1" applyFill="1" applyBorder="1" applyAlignment="1" applyProtection="1">
      <alignment vertical="center"/>
      <protection locked="0"/>
    </xf>
    <xf numFmtId="164" fontId="37" fillId="6" borderId="20" xfId="1" applyNumberFormat="1" applyFont="1" applyFill="1" applyBorder="1" applyAlignment="1" applyProtection="1">
      <alignment vertical="center"/>
      <protection locked="0"/>
    </xf>
    <xf numFmtId="168" fontId="37" fillId="6" borderId="8" xfId="0" applyNumberFormat="1" applyFont="1" applyFill="1" applyBorder="1" applyAlignment="1" applyProtection="1">
      <alignment vertical="center"/>
      <protection locked="0"/>
    </xf>
    <xf numFmtId="0" fontId="0" fillId="4" borderId="22" xfId="0" applyFill="1" applyBorder="1" applyAlignment="1" applyProtection="1">
      <alignment horizontal="center" vertical="center"/>
      <protection locked="0"/>
    </xf>
    <xf numFmtId="164" fontId="0" fillId="6" borderId="38" xfId="1" applyNumberFormat="1" applyFont="1" applyFill="1" applyBorder="1" applyAlignment="1" applyProtection="1">
      <alignment vertical="center"/>
      <protection locked="0"/>
    </xf>
    <xf numFmtId="164" fontId="0" fillId="6" borderId="57" xfId="1" applyNumberFormat="1" applyFont="1" applyFill="1" applyBorder="1" applyAlignment="1" applyProtection="1">
      <alignment vertical="center"/>
      <protection locked="0"/>
    </xf>
    <xf numFmtId="164" fontId="0" fillId="6" borderId="39" xfId="1" applyNumberFormat="1" applyFont="1" applyFill="1" applyBorder="1" applyAlignment="1" applyProtection="1">
      <alignment vertical="center"/>
      <protection locked="0"/>
    </xf>
    <xf numFmtId="164" fontId="0" fillId="6" borderId="71" xfId="1" applyNumberFormat="1" applyFont="1" applyFill="1" applyBorder="1" applyAlignment="1" applyProtection="1">
      <alignment vertical="center"/>
      <protection locked="0"/>
    </xf>
    <xf numFmtId="164" fontId="21" fillId="6" borderId="43" xfId="1" applyNumberFormat="1" applyFont="1" applyFill="1" applyBorder="1" applyAlignment="1" applyProtection="1">
      <alignment vertical="center"/>
      <protection locked="0"/>
    </xf>
    <xf numFmtId="164" fontId="21" fillId="6" borderId="17" xfId="1" applyNumberFormat="1" applyFont="1" applyFill="1" applyBorder="1" applyAlignment="1" applyProtection="1">
      <alignment vertical="center"/>
      <protection locked="0"/>
    </xf>
    <xf numFmtId="0" fontId="0" fillId="4" borderId="43" xfId="0" applyFill="1" applyBorder="1" applyAlignment="1" applyProtection="1">
      <alignment horizontal="left" vertical="center" indent="1"/>
      <protection locked="0"/>
    </xf>
    <xf numFmtId="0" fontId="0" fillId="4" borderId="44" xfId="0" applyFill="1" applyBorder="1" applyAlignment="1" applyProtection="1">
      <alignment horizontal="left" vertical="center" indent="1"/>
      <protection locked="0"/>
    </xf>
    <xf numFmtId="0" fontId="0" fillId="4" borderId="45" xfId="0" applyFill="1" applyBorder="1" applyAlignment="1" applyProtection="1">
      <alignment horizontal="left" vertical="center" indent="1"/>
      <protection locked="0"/>
    </xf>
    <xf numFmtId="164" fontId="0" fillId="6" borderId="34" xfId="1" applyNumberFormat="1" applyFont="1" applyFill="1" applyBorder="1" applyAlignment="1" applyProtection="1">
      <alignment vertical="center"/>
      <protection locked="0"/>
    </xf>
    <xf numFmtId="164" fontId="0" fillId="6" borderId="41" xfId="1" applyNumberFormat="1" applyFont="1" applyFill="1" applyBorder="1" applyAlignment="1" applyProtection="1">
      <alignment vertical="center"/>
      <protection locked="0"/>
    </xf>
    <xf numFmtId="0" fontId="0" fillId="4" borderId="58" xfId="0" applyFill="1" applyBorder="1" applyAlignment="1" applyProtection="1">
      <alignment horizontal="left" vertical="center" indent="1"/>
      <protection locked="0"/>
    </xf>
    <xf numFmtId="167" fontId="0" fillId="6" borderId="43" xfId="1" applyNumberFormat="1" applyFont="1" applyFill="1" applyBorder="1" applyAlignment="1" applyProtection="1">
      <alignment vertical="center"/>
      <protection locked="0"/>
    </xf>
    <xf numFmtId="167" fontId="0" fillId="6" borderId="17" xfId="1" applyNumberFormat="1" applyFont="1" applyFill="1" applyBorder="1" applyAlignment="1" applyProtection="1">
      <alignment vertical="center"/>
      <protection locked="0"/>
    </xf>
    <xf numFmtId="0" fontId="0" fillId="6" borderId="34" xfId="0" applyFill="1" applyBorder="1" applyAlignment="1" applyProtection="1">
      <alignment vertical="center"/>
      <protection locked="0"/>
    </xf>
    <xf numFmtId="0" fontId="0" fillId="6" borderId="38" xfId="0" applyFill="1" applyBorder="1" applyAlignment="1" applyProtection="1">
      <alignment vertical="center"/>
      <protection locked="0"/>
    </xf>
    <xf numFmtId="0" fontId="0" fillId="6" borderId="41" xfId="0" applyFill="1" applyBorder="1" applyAlignment="1" applyProtection="1">
      <alignment vertical="center"/>
      <protection locked="0"/>
    </xf>
    <xf numFmtId="0" fontId="0" fillId="6" borderId="33" xfId="0" applyFill="1" applyBorder="1" applyAlignment="1" applyProtection="1">
      <alignment horizontal="center" vertical="center"/>
      <protection locked="0"/>
    </xf>
    <xf numFmtId="0" fontId="0" fillId="6" borderId="37" xfId="0" applyFill="1" applyBorder="1" applyAlignment="1" applyProtection="1">
      <alignment horizontal="center" vertical="center"/>
      <protection locked="0"/>
    </xf>
    <xf numFmtId="0" fontId="0" fillId="6" borderId="40" xfId="0" applyFill="1" applyBorder="1" applyAlignment="1" applyProtection="1">
      <alignment horizontal="center" vertical="center"/>
      <protection locked="0"/>
    </xf>
    <xf numFmtId="0" fontId="0" fillId="4" borderId="46" xfId="0" applyFill="1" applyBorder="1" applyAlignment="1" applyProtection="1">
      <alignment horizontal="left" vertical="center" indent="1"/>
      <protection locked="0"/>
    </xf>
    <xf numFmtId="164" fontId="0" fillId="6" borderId="36" xfId="1" applyNumberFormat="1" applyFont="1" applyFill="1" applyBorder="1" applyAlignment="1" applyProtection="1">
      <alignment vertical="center"/>
      <protection locked="0"/>
    </xf>
    <xf numFmtId="0" fontId="0" fillId="6" borderId="80" xfId="0" applyFill="1" applyBorder="1" applyAlignment="1" applyProtection="1">
      <alignment vertical="center"/>
      <protection locked="0"/>
    </xf>
    <xf numFmtId="0" fontId="0" fillId="4" borderId="94" xfId="0" applyFill="1" applyBorder="1" applyAlignment="1" applyProtection="1">
      <alignment horizontal="left" vertical="center" indent="1"/>
      <protection locked="0"/>
    </xf>
    <xf numFmtId="0" fontId="0" fillId="6" borderId="84" xfId="0" applyFill="1" applyBorder="1" applyAlignment="1" applyProtection="1">
      <alignment horizontal="center" vertical="center"/>
      <protection locked="0"/>
    </xf>
    <xf numFmtId="0" fontId="0" fillId="4" borderId="72" xfId="0" applyFill="1" applyBorder="1" applyAlignment="1" applyProtection="1">
      <alignment horizontal="left" vertical="center" indent="1"/>
      <protection locked="0"/>
    </xf>
    <xf numFmtId="0" fontId="0" fillId="0" borderId="28" xfId="0" applyBorder="1" applyAlignment="1" applyProtection="1">
      <alignment vertical="center"/>
      <protection locked="0"/>
    </xf>
    <xf numFmtId="0" fontId="0" fillId="0" borderId="11" xfId="0" applyBorder="1" applyAlignment="1" applyProtection="1">
      <alignment vertical="center"/>
      <protection locked="0"/>
    </xf>
    <xf numFmtId="0" fontId="0" fillId="0" borderId="17" xfId="0" applyBorder="1" applyAlignment="1" applyProtection="1">
      <alignment vertical="center"/>
      <protection locked="0"/>
    </xf>
    <xf numFmtId="0" fontId="0" fillId="0" borderId="0" xfId="0" applyProtection="1">
      <protection locked="0"/>
    </xf>
    <xf numFmtId="14" fontId="0" fillId="0" borderId="0" xfId="0" applyNumberFormat="1"/>
    <xf numFmtId="14" fontId="0" fillId="0" borderId="0" xfId="0" applyNumberFormat="1" applyProtection="1">
      <protection locked="0"/>
    </xf>
    <xf numFmtId="0" fontId="2" fillId="0" borderId="0" xfId="0" applyFont="1" applyBorder="1" applyAlignment="1">
      <alignment horizontal="left"/>
    </xf>
    <xf numFmtId="167" fontId="0" fillId="2" borderId="44" xfId="1" applyNumberFormat="1" applyFont="1" applyFill="1" applyBorder="1" applyAlignment="1" applyProtection="1">
      <alignment vertical="center"/>
    </xf>
    <xf numFmtId="0" fontId="32" fillId="16" borderId="60" xfId="0" applyFont="1" applyFill="1" applyBorder="1" applyAlignment="1">
      <alignment horizontal="center" vertical="center"/>
    </xf>
    <xf numFmtId="0" fontId="21" fillId="0" borderId="0" xfId="0" applyFont="1" applyBorder="1" applyAlignment="1">
      <alignment vertical="center"/>
    </xf>
    <xf numFmtId="0" fontId="11" fillId="2" borderId="0" xfId="0" applyFont="1" applyFill="1" applyBorder="1" applyAlignment="1">
      <alignment horizontal="center" vertical="center"/>
    </xf>
    <xf numFmtId="0" fontId="26" fillId="0" borderId="0" xfId="0" applyFont="1" applyAlignment="1">
      <alignment horizontal="center" vertical="center"/>
    </xf>
    <xf numFmtId="164" fontId="0" fillId="0" borderId="0" xfId="0" applyNumberFormat="1" applyAlignment="1" applyProtection="1">
      <alignment vertical="center"/>
    </xf>
    <xf numFmtId="0" fontId="26" fillId="0" borderId="0" xfId="0" applyFont="1" applyBorder="1" applyAlignment="1">
      <alignment vertical="center"/>
    </xf>
    <xf numFmtId="10" fontId="21" fillId="2" borderId="0" xfId="1" applyNumberFormat="1" applyFont="1" applyFill="1" applyBorder="1" applyAlignment="1">
      <alignment horizontal="center" vertical="center"/>
    </xf>
    <xf numFmtId="0" fontId="21" fillId="2" borderId="21" xfId="0" applyFont="1" applyFill="1" applyBorder="1" applyAlignment="1">
      <alignment vertical="center"/>
    </xf>
    <xf numFmtId="0" fontId="21" fillId="2" borderId="7" xfId="0" applyFont="1" applyFill="1" applyBorder="1" applyAlignment="1">
      <alignment vertical="center"/>
    </xf>
    <xf numFmtId="0" fontId="21" fillId="2" borderId="22" xfId="0" applyFont="1" applyFill="1" applyBorder="1" applyAlignment="1">
      <alignment vertical="center"/>
    </xf>
    <xf numFmtId="0" fontId="37" fillId="2" borderId="15" xfId="0" applyFont="1" applyFill="1" applyBorder="1" applyAlignment="1" applyProtection="1">
      <alignment horizontal="center" vertical="center"/>
    </xf>
    <xf numFmtId="168" fontId="45" fillId="0" borderId="38" xfId="1" applyNumberFormat="1" applyFont="1" applyBorder="1" applyAlignment="1" applyProtection="1">
      <alignment vertical="center"/>
    </xf>
    <xf numFmtId="168" fontId="45" fillId="0" borderId="57" xfId="1" applyNumberFormat="1" applyFont="1" applyBorder="1" applyAlignment="1" applyProtection="1">
      <alignment vertical="center"/>
    </xf>
    <xf numFmtId="167" fontId="21" fillId="2" borderId="44" xfId="1" applyNumberFormat="1" applyFont="1" applyFill="1" applyBorder="1" applyAlignment="1" applyProtection="1">
      <alignment horizontal="center" vertical="center"/>
    </xf>
    <xf numFmtId="167" fontId="21" fillId="2" borderId="44" xfId="1" applyNumberFormat="1" applyFont="1" applyFill="1" applyBorder="1" applyAlignment="1" applyProtection="1">
      <alignment vertical="center"/>
    </xf>
    <xf numFmtId="0" fontId="37" fillId="0" borderId="0" xfId="0" applyFont="1" applyAlignment="1" applyProtection="1">
      <alignment vertical="center"/>
    </xf>
    <xf numFmtId="0" fontId="4" fillId="0" borderId="0" xfId="0" applyFont="1" applyAlignment="1" applyProtection="1">
      <alignment vertical="center"/>
    </xf>
    <xf numFmtId="0" fontId="21" fillId="18" borderId="9" xfId="0" applyFont="1" applyFill="1" applyBorder="1" applyAlignment="1">
      <alignment vertical="center"/>
    </xf>
    <xf numFmtId="164" fontId="0" fillId="0" borderId="0" xfId="0" applyNumberFormat="1" applyAlignment="1">
      <alignment vertical="center"/>
    </xf>
    <xf numFmtId="0" fontId="2" fillId="13" borderId="10" xfId="0" applyFont="1" applyFill="1" applyBorder="1" applyAlignment="1">
      <alignment horizontal="center" vertical="top" wrapText="1"/>
    </xf>
    <xf numFmtId="0" fontId="0" fillId="13" borderId="29" xfId="0" applyFont="1" applyFill="1" applyBorder="1" applyAlignment="1">
      <alignment horizontal="center" vertical="center"/>
    </xf>
    <xf numFmtId="0" fontId="0" fillId="2" borderId="79" xfId="0" applyFill="1" applyBorder="1" applyAlignment="1" applyProtection="1">
      <alignment vertical="center"/>
    </xf>
    <xf numFmtId="167" fontId="0" fillId="2" borderId="46" xfId="1" applyNumberFormat="1" applyFont="1" applyFill="1" applyBorder="1" applyAlignment="1" applyProtection="1">
      <alignment vertical="center"/>
    </xf>
    <xf numFmtId="0" fontId="38" fillId="16" borderId="66" xfId="0" applyFont="1" applyFill="1" applyBorder="1" applyAlignment="1">
      <alignment horizontal="left" vertical="center" indent="1"/>
    </xf>
    <xf numFmtId="0" fontId="39" fillId="16" borderId="60" xfId="0" applyFont="1" applyFill="1" applyBorder="1" applyAlignment="1">
      <alignment horizontal="left" vertical="center" indent="1"/>
    </xf>
    <xf numFmtId="0" fontId="40" fillId="16" borderId="60" xfId="0" applyFont="1" applyFill="1" applyBorder="1" applyAlignment="1">
      <alignment vertical="center"/>
    </xf>
    <xf numFmtId="0" fontId="40" fillId="16" borderId="60" xfId="0" applyFont="1" applyFill="1" applyBorder="1" applyAlignment="1">
      <alignment horizontal="center" vertical="center"/>
    </xf>
    <xf numFmtId="164" fontId="27" fillId="16" borderId="68" xfId="0" applyNumberFormat="1" applyFont="1" applyFill="1" applyBorder="1" applyAlignment="1">
      <alignment vertical="center"/>
    </xf>
    <xf numFmtId="0" fontId="22" fillId="16" borderId="99" xfId="0" applyFont="1" applyFill="1" applyBorder="1" applyAlignment="1">
      <alignment horizontal="left" vertical="center" indent="1"/>
    </xf>
    <xf numFmtId="0" fontId="8" fillId="16" borderId="97" xfId="0" applyFont="1" applyFill="1" applyBorder="1" applyAlignment="1">
      <alignment horizontal="left" vertical="center" indent="1"/>
    </xf>
    <xf numFmtId="0" fontId="6" fillId="16" borderId="97" xfId="0" applyFont="1" applyFill="1" applyBorder="1" applyAlignment="1">
      <alignment horizontal="left" vertical="center" indent="1"/>
    </xf>
    <xf numFmtId="0" fontId="6" fillId="16" borderId="97" xfId="0" applyFont="1" applyFill="1" applyBorder="1" applyAlignment="1">
      <alignment vertical="center"/>
    </xf>
    <xf numFmtId="0" fontId="21" fillId="16" borderId="97" xfId="0" applyFont="1" applyFill="1" applyBorder="1" applyAlignment="1">
      <alignment vertical="center"/>
    </xf>
    <xf numFmtId="168" fontId="19" fillId="16" borderId="97" xfId="0" applyNumberFormat="1" applyFont="1" applyFill="1" applyBorder="1" applyAlignment="1">
      <alignment vertical="center"/>
    </xf>
    <xf numFmtId="168" fontId="6" fillId="16" borderId="97" xfId="1" applyNumberFormat="1" applyFont="1" applyFill="1" applyBorder="1" applyAlignment="1">
      <alignment vertical="center"/>
    </xf>
    <xf numFmtId="0" fontId="45" fillId="16" borderId="97" xfId="0" applyFont="1" applyFill="1" applyBorder="1" applyAlignment="1">
      <alignment vertical="center"/>
    </xf>
    <xf numFmtId="164" fontId="6" fillId="16" borderId="98" xfId="0" applyNumberFormat="1" applyFont="1" applyFill="1" applyBorder="1" applyAlignment="1">
      <alignment vertical="center"/>
    </xf>
    <xf numFmtId="0" fontId="22" fillId="16" borderId="100" xfId="0" applyFont="1" applyFill="1" applyBorder="1" applyAlignment="1">
      <alignment horizontal="left" vertical="center" indent="1"/>
    </xf>
    <xf numFmtId="0" fontId="8" fillId="16" borderId="95" xfId="0" applyFont="1" applyFill="1" applyBorder="1" applyAlignment="1">
      <alignment horizontal="left" vertical="center" indent="1"/>
    </xf>
    <xf numFmtId="0" fontId="6" fillId="16" borderId="95" xfId="0" applyFont="1" applyFill="1" applyBorder="1" applyAlignment="1">
      <alignment horizontal="left" vertical="center" indent="1"/>
    </xf>
    <xf numFmtId="0" fontId="6" fillId="16" borderId="95" xfId="0" applyFont="1" applyFill="1" applyBorder="1" applyAlignment="1">
      <alignment vertical="center"/>
    </xf>
    <xf numFmtId="0" fontId="21" fillId="16" borderId="95" xfId="0" applyFont="1" applyFill="1" applyBorder="1" applyAlignment="1">
      <alignment vertical="center"/>
    </xf>
    <xf numFmtId="168" fontId="19" fillId="16" borderId="95" xfId="0" applyNumberFormat="1" applyFont="1" applyFill="1" applyBorder="1" applyAlignment="1">
      <alignment vertical="center"/>
    </xf>
    <xf numFmtId="168" fontId="6" fillId="16" borderId="95" xfId="1" applyNumberFormat="1" applyFont="1" applyFill="1" applyBorder="1" applyAlignment="1">
      <alignment vertical="center"/>
    </xf>
    <xf numFmtId="0" fontId="45" fillId="16" borderId="95" xfId="0" applyFont="1" applyFill="1" applyBorder="1" applyAlignment="1">
      <alignment vertical="center"/>
    </xf>
    <xf numFmtId="164" fontId="6" fillId="16" borderId="96" xfId="0" applyNumberFormat="1" applyFont="1" applyFill="1" applyBorder="1" applyAlignment="1">
      <alignment vertical="center"/>
    </xf>
    <xf numFmtId="0" fontId="37" fillId="6" borderId="38" xfId="0" applyNumberFormat="1" applyFont="1" applyFill="1" applyBorder="1" applyAlignment="1" applyProtection="1">
      <alignment horizontal="left" vertical="center" indent="1"/>
      <protection locked="0"/>
    </xf>
    <xf numFmtId="0" fontId="37" fillId="6" borderId="57" xfId="0" applyNumberFormat="1" applyFont="1" applyFill="1" applyBorder="1" applyAlignment="1" applyProtection="1">
      <alignment horizontal="left" vertical="center" indent="1"/>
      <protection locked="0"/>
    </xf>
    <xf numFmtId="0" fontId="21" fillId="0" borderId="39" xfId="0" applyFont="1" applyFill="1" applyBorder="1" applyAlignment="1" applyProtection="1">
      <alignment vertical="center"/>
    </xf>
    <xf numFmtId="0" fontId="21" fillId="0" borderId="39" xfId="0" applyFont="1" applyBorder="1" applyAlignment="1" applyProtection="1">
      <alignment vertical="center"/>
    </xf>
    <xf numFmtId="0" fontId="21" fillId="0" borderId="22" xfId="0" applyFont="1" applyBorder="1" applyAlignment="1">
      <alignment horizontal="left" vertical="center" indent="1"/>
    </xf>
    <xf numFmtId="1" fontId="30" fillId="0" borderId="0" xfId="0" applyNumberFormat="1" applyFont="1" applyAlignment="1">
      <alignment horizontal="left"/>
    </xf>
    <xf numFmtId="0" fontId="37" fillId="0" borderId="0" xfId="0" applyFont="1"/>
    <xf numFmtId="0" fontId="37" fillId="0" borderId="0" xfId="0" applyFont="1" applyAlignment="1">
      <alignment horizontal="center"/>
    </xf>
    <xf numFmtId="172" fontId="37" fillId="0" borderId="0" xfId="0" applyNumberFormat="1" applyFont="1"/>
    <xf numFmtId="168" fontId="37" fillId="0" borderId="0" xfId="0" applyNumberFormat="1" applyFont="1"/>
    <xf numFmtId="1" fontId="40" fillId="0" borderId="0" xfId="0" applyNumberFormat="1" applyFont="1" applyAlignment="1">
      <alignment horizontal="left"/>
    </xf>
    <xf numFmtId="167" fontId="22" fillId="13" borderId="24" xfId="1" applyNumberFormat="1" applyFont="1" applyFill="1" applyBorder="1" applyAlignment="1">
      <alignment horizontal="center"/>
    </xf>
    <xf numFmtId="167" fontId="22" fillId="13" borderId="24" xfId="1" applyNumberFormat="1" applyFont="1" applyFill="1" applyBorder="1"/>
    <xf numFmtId="168" fontId="22" fillId="13" borderId="24" xfId="1" applyNumberFormat="1" applyFont="1" applyFill="1" applyBorder="1"/>
    <xf numFmtId="0" fontId="0" fillId="0" borderId="0" xfId="0" applyFont="1" applyAlignment="1"/>
    <xf numFmtId="14" fontId="0" fillId="0" borderId="0" xfId="0" applyNumberFormat="1" applyFont="1" applyAlignment="1">
      <alignment horizontal="left"/>
    </xf>
    <xf numFmtId="172" fontId="37" fillId="0" borderId="0" xfId="0" applyNumberFormat="1" applyFont="1" applyAlignment="1">
      <alignment vertical="center"/>
    </xf>
    <xf numFmtId="0" fontId="0" fillId="0" borderId="0" xfId="0" applyFont="1" applyAlignment="1">
      <alignment horizontal="center"/>
    </xf>
    <xf numFmtId="167" fontId="0" fillId="0" borderId="0" xfId="1" applyNumberFormat="1" applyFont="1"/>
    <xf numFmtId="168" fontId="0" fillId="0" borderId="0" xfId="1" applyNumberFormat="1" applyFont="1"/>
    <xf numFmtId="0" fontId="0" fillId="0" borderId="24" xfId="0" applyFont="1" applyBorder="1" applyAlignment="1">
      <alignment horizontal="center"/>
    </xf>
    <xf numFmtId="0" fontId="0" fillId="0" borderId="24" xfId="0" applyFont="1" applyBorder="1"/>
    <xf numFmtId="167" fontId="0" fillId="0" borderId="24" xfId="1" applyNumberFormat="1" applyFont="1" applyBorder="1"/>
    <xf numFmtId="168" fontId="0" fillId="0" borderId="24" xfId="1" applyNumberFormat="1" applyFont="1" applyBorder="1"/>
    <xf numFmtId="0" fontId="0" fillId="0" borderId="31" xfId="0" applyFont="1" applyBorder="1" applyAlignment="1">
      <alignment horizontal="center"/>
    </xf>
    <xf numFmtId="0" fontId="0" fillId="0" borderId="31" xfId="0" applyFont="1" applyBorder="1"/>
    <xf numFmtId="167" fontId="0" fillId="0" borderId="31" xfId="1" applyNumberFormat="1" applyFont="1" applyBorder="1"/>
    <xf numFmtId="168" fontId="0" fillId="0" borderId="31" xfId="1" applyNumberFormat="1" applyFont="1" applyBorder="1"/>
    <xf numFmtId="0" fontId="0" fillId="0" borderId="0" xfId="0" applyFont="1" applyBorder="1"/>
    <xf numFmtId="0" fontId="0" fillId="0" borderId="0" xfId="0" applyFont="1" applyBorder="1" applyAlignment="1">
      <alignment horizontal="center"/>
    </xf>
    <xf numFmtId="167" fontId="2" fillId="0" borderId="0" xfId="1" applyNumberFormat="1" applyFont="1" applyBorder="1"/>
    <xf numFmtId="168" fontId="2" fillId="0" borderId="0" xfId="1" applyNumberFormat="1" applyFont="1" applyBorder="1"/>
    <xf numFmtId="0" fontId="37" fillId="6" borderId="86" xfId="0" applyFont="1" applyFill="1" applyBorder="1" applyAlignment="1" applyProtection="1">
      <alignment horizontal="center" vertical="center"/>
      <protection locked="0"/>
    </xf>
    <xf numFmtId="0" fontId="29" fillId="13" borderId="30" xfId="0" applyFont="1" applyFill="1" applyBorder="1" applyAlignment="1" applyProtection="1">
      <alignment horizontal="left" vertical="center" indent="1"/>
    </xf>
    <xf numFmtId="0" fontId="22" fillId="13" borderId="31" xfId="0" applyFont="1" applyFill="1" applyBorder="1" applyAlignment="1" applyProtection="1">
      <alignment vertical="center"/>
    </xf>
    <xf numFmtId="0" fontId="0" fillId="13" borderId="9" xfId="0" applyFont="1" applyFill="1" applyBorder="1" applyAlignment="1" applyProtection="1">
      <alignment horizontal="center" vertical="center"/>
    </xf>
    <xf numFmtId="0" fontId="0" fillId="13" borderId="32" xfId="0" applyFont="1" applyFill="1" applyBorder="1" applyAlignment="1" applyProtection="1">
      <alignment horizontal="center" vertical="center"/>
    </xf>
    <xf numFmtId="0" fontId="0" fillId="2" borderId="36" xfId="0" applyFill="1" applyBorder="1" applyAlignment="1" applyProtection="1">
      <alignment horizontal="left" vertical="center" indent="1"/>
    </xf>
    <xf numFmtId="167" fontId="21" fillId="2" borderId="37" xfId="1" applyNumberFormat="1" applyFont="1" applyFill="1" applyBorder="1" applyAlignment="1" applyProtection="1">
      <alignment vertical="center"/>
    </xf>
    <xf numFmtId="0" fontId="0" fillId="0" borderId="38" xfId="0" applyFill="1" applyBorder="1" applyAlignment="1" applyProtection="1">
      <alignment horizontal="left" vertical="center" indent="1"/>
    </xf>
    <xf numFmtId="167" fontId="0" fillId="0" borderId="37" xfId="1" applyNumberFormat="1" applyFont="1" applyBorder="1" applyAlignment="1" applyProtection="1">
      <alignment vertical="center"/>
    </xf>
    <xf numFmtId="0" fontId="0" fillId="0" borderId="22" xfId="0" applyFill="1" applyBorder="1" applyAlignment="1" applyProtection="1">
      <alignment horizontal="left" vertical="center" indent="1"/>
    </xf>
    <xf numFmtId="0" fontId="0" fillId="0" borderId="42" xfId="0" applyFill="1" applyBorder="1" applyAlignment="1" applyProtection="1">
      <alignment vertical="center"/>
    </xf>
    <xf numFmtId="0" fontId="0" fillId="0" borderId="24" xfId="0" applyFill="1" applyBorder="1" applyAlignment="1" applyProtection="1">
      <alignment vertical="center"/>
    </xf>
    <xf numFmtId="0" fontId="0" fillId="0" borderId="24" xfId="0" applyBorder="1" applyAlignment="1" applyProtection="1">
      <alignment vertical="center"/>
    </xf>
    <xf numFmtId="167" fontId="0" fillId="2" borderId="17" xfId="1" applyNumberFormat="1" applyFont="1" applyFill="1" applyBorder="1" applyAlignment="1" applyProtection="1">
      <alignment vertical="center"/>
    </xf>
    <xf numFmtId="167" fontId="0" fillId="0" borderId="20" xfId="1" applyNumberFormat="1" applyFont="1" applyBorder="1" applyAlignment="1" applyProtection="1">
      <alignment vertical="center"/>
    </xf>
    <xf numFmtId="0" fontId="37" fillId="16" borderId="0" xfId="0" applyFont="1" applyFill="1" applyBorder="1" applyAlignment="1" applyProtection="1">
      <alignment vertical="center"/>
    </xf>
    <xf numFmtId="0" fontId="37" fillId="16" borderId="100" xfId="0" applyFont="1" applyFill="1" applyBorder="1" applyAlignment="1" applyProtection="1">
      <alignment horizontal="left" vertical="center" indent="3"/>
    </xf>
    <xf numFmtId="167" fontId="22" fillId="16" borderId="96" xfId="1" applyNumberFormat="1" applyFont="1" applyFill="1" applyBorder="1" applyAlignment="1" applyProtection="1">
      <alignment vertical="center"/>
    </xf>
    <xf numFmtId="0" fontId="37" fillId="16" borderId="95" xfId="0" applyFont="1" applyFill="1" applyBorder="1" applyAlignment="1" applyProtection="1">
      <alignment vertical="center"/>
    </xf>
    <xf numFmtId="0" fontId="37" fillId="16" borderId="99" xfId="0" applyFont="1" applyFill="1" applyBorder="1" applyAlignment="1" applyProtection="1">
      <alignment horizontal="left" vertical="center" indent="3"/>
    </xf>
    <xf numFmtId="0" fontId="37" fillId="16" borderId="97" xfId="0" applyFont="1" applyFill="1" applyBorder="1" applyAlignment="1" applyProtection="1">
      <alignment vertical="center"/>
    </xf>
    <xf numFmtId="167" fontId="22" fillId="16" borderId="98" xfId="1" applyNumberFormat="1" applyFont="1" applyFill="1" applyBorder="1" applyAlignment="1" applyProtection="1">
      <alignment vertical="center"/>
    </xf>
    <xf numFmtId="168" fontId="37" fillId="16" borderId="60" xfId="1" applyNumberFormat="1" applyFont="1" applyFill="1" applyBorder="1" applyAlignment="1" applyProtection="1">
      <alignment vertical="center"/>
    </xf>
    <xf numFmtId="167" fontId="37" fillId="13" borderId="44" xfId="1" applyNumberFormat="1" applyFont="1" applyFill="1" applyBorder="1" applyAlignment="1" applyProtection="1">
      <alignment vertical="center"/>
    </xf>
    <xf numFmtId="2" fontId="0" fillId="0" borderId="0" xfId="0" applyNumberFormat="1" applyBorder="1" applyAlignment="1" applyProtection="1">
      <alignment vertical="center"/>
    </xf>
    <xf numFmtId="171" fontId="0" fillId="2" borderId="9" xfId="0" applyNumberFormat="1" applyFill="1" applyBorder="1" applyAlignment="1" applyProtection="1">
      <alignment vertical="center"/>
    </xf>
    <xf numFmtId="0" fontId="0" fillId="0" borderId="0" xfId="0" applyFont="1" applyBorder="1" applyAlignment="1" applyProtection="1">
      <alignment vertical="center"/>
    </xf>
    <xf numFmtId="0" fontId="0" fillId="16" borderId="95" xfId="0" applyFill="1" applyBorder="1" applyAlignment="1" applyProtection="1">
      <alignment vertical="center"/>
    </xf>
    <xf numFmtId="0" fontId="0" fillId="16" borderId="97" xfId="0" applyFill="1" applyBorder="1" applyAlignment="1" applyProtection="1">
      <alignment vertical="center"/>
    </xf>
    <xf numFmtId="0" fontId="8" fillId="16" borderId="97" xfId="0" applyFont="1" applyFill="1" applyBorder="1" applyAlignment="1" applyProtection="1">
      <alignment vertical="center"/>
    </xf>
    <xf numFmtId="0" fontId="21" fillId="0" borderId="0" xfId="0" applyFont="1" applyAlignment="1">
      <alignment horizontal="center" vertical="center"/>
    </xf>
    <xf numFmtId="0" fontId="21" fillId="0" borderId="0" xfId="0" applyFont="1" applyAlignment="1">
      <alignment vertical="center"/>
    </xf>
    <xf numFmtId="0" fontId="21" fillId="2" borderId="28" xfId="0" applyFont="1" applyFill="1" applyBorder="1" applyAlignment="1">
      <alignment vertical="center"/>
    </xf>
    <xf numFmtId="0" fontId="21" fillId="2" borderId="11" xfId="0" applyFont="1" applyFill="1" applyBorder="1" applyAlignment="1">
      <alignment vertical="center"/>
    </xf>
    <xf numFmtId="0" fontId="21" fillId="2" borderId="17" xfId="0" applyFont="1" applyFill="1" applyBorder="1" applyAlignment="1">
      <alignment vertical="center"/>
    </xf>
    <xf numFmtId="0" fontId="21" fillId="18" borderId="32" xfId="0" applyFont="1" applyFill="1" applyBorder="1" applyAlignment="1">
      <alignment vertical="center"/>
    </xf>
    <xf numFmtId="0" fontId="21" fillId="0" borderId="7" xfId="0" applyFont="1" applyBorder="1" applyAlignment="1">
      <alignment vertical="center"/>
    </xf>
    <xf numFmtId="0" fontId="21" fillId="2" borderId="23" xfId="0" applyFont="1" applyFill="1" applyBorder="1" applyAlignment="1">
      <alignment vertical="center"/>
    </xf>
    <xf numFmtId="0" fontId="37" fillId="0" borderId="0" xfId="0" applyFont="1" applyAlignment="1" applyProtection="1">
      <alignment horizontal="right" vertical="center"/>
    </xf>
    <xf numFmtId="0" fontId="0" fillId="15" borderId="0" xfId="0" applyFill="1" applyAlignment="1" applyProtection="1">
      <alignment vertical="center"/>
    </xf>
    <xf numFmtId="0" fontId="0" fillId="0" borderId="9" xfId="0" applyBorder="1" applyAlignment="1" applyProtection="1">
      <alignment vertical="center"/>
    </xf>
    <xf numFmtId="0" fontId="8" fillId="15" borderId="0" xfId="0" applyFont="1" applyFill="1" applyAlignment="1" applyProtection="1">
      <alignment vertical="center"/>
    </xf>
    <xf numFmtId="167" fontId="32" fillId="16" borderId="107" xfId="1" applyNumberFormat="1" applyFont="1" applyFill="1" applyBorder="1" applyAlignment="1" applyProtection="1">
      <alignment vertical="center"/>
    </xf>
    <xf numFmtId="167" fontId="2" fillId="16" borderId="104" xfId="1" applyNumberFormat="1" applyFont="1" applyFill="1" applyBorder="1" applyAlignment="1" applyProtection="1">
      <alignment vertical="center"/>
    </xf>
    <xf numFmtId="167" fontId="2" fillId="16" borderId="105" xfId="1" applyNumberFormat="1" applyFont="1" applyFill="1" applyBorder="1" applyAlignment="1" applyProtection="1">
      <alignment vertical="center"/>
    </xf>
    <xf numFmtId="0" fontId="0" fillId="0" borderId="32" xfId="0" applyBorder="1" applyAlignment="1" applyProtection="1">
      <alignment vertical="center"/>
    </xf>
    <xf numFmtId="164" fontId="0" fillId="0" borderId="9" xfId="0" applyNumberFormat="1" applyBorder="1" applyAlignment="1" applyProtection="1">
      <alignment vertical="center"/>
    </xf>
    <xf numFmtId="0" fontId="8" fillId="16" borderId="97" xfId="0" applyFont="1" applyFill="1" applyBorder="1" applyAlignment="1" applyProtection="1">
      <alignment horizontal="right" vertical="center"/>
    </xf>
    <xf numFmtId="167" fontId="37" fillId="0" borderId="58" xfId="1" applyNumberFormat="1" applyFont="1" applyBorder="1" applyAlignment="1" applyProtection="1">
      <alignment vertical="center"/>
    </xf>
    <xf numFmtId="0" fontId="37" fillId="0" borderId="57" xfId="0" applyFont="1" applyBorder="1" applyAlignment="1" applyProtection="1">
      <alignment horizontal="left" vertical="center" indent="2"/>
    </xf>
    <xf numFmtId="167" fontId="37" fillId="13" borderId="58" xfId="1" applyNumberFormat="1" applyFont="1" applyFill="1" applyBorder="1" applyAlignment="1" applyProtection="1">
      <alignment vertical="center"/>
    </xf>
    <xf numFmtId="164" fontId="37" fillId="0" borderId="58" xfId="1" applyNumberFormat="1" applyFont="1" applyBorder="1" applyAlignment="1" applyProtection="1">
      <alignment horizontal="right" vertical="center"/>
    </xf>
    <xf numFmtId="167" fontId="37" fillId="2" borderId="57" xfId="1" applyNumberFormat="1" applyFont="1" applyFill="1" applyBorder="1" applyAlignment="1" applyProtection="1">
      <alignment horizontal="right" vertical="center"/>
    </xf>
    <xf numFmtId="168" fontId="45" fillId="0" borderId="57" xfId="1" applyNumberFormat="1" applyFont="1" applyBorder="1" applyAlignment="1" applyProtection="1">
      <alignment horizontal="right" vertical="center"/>
    </xf>
    <xf numFmtId="0" fontId="0" fillId="0" borderId="0" xfId="0" applyBorder="1" applyAlignment="1" applyProtection="1">
      <alignment vertical="center"/>
      <protection locked="0"/>
    </xf>
    <xf numFmtId="167" fontId="19" fillId="16" borderId="107" xfId="1" applyNumberFormat="1" applyFont="1" applyFill="1" applyBorder="1" applyAlignment="1" applyProtection="1">
      <alignment vertical="center"/>
    </xf>
    <xf numFmtId="171" fontId="22" fillId="13" borderId="67" xfId="0" applyNumberFormat="1" applyFont="1" applyFill="1" applyBorder="1" applyAlignment="1" applyProtection="1">
      <alignment vertical="center"/>
    </xf>
    <xf numFmtId="171" fontId="22" fillId="13" borderId="61" xfId="0" applyNumberFormat="1" applyFont="1" applyFill="1" applyBorder="1" applyAlignment="1" applyProtection="1">
      <alignment vertical="center"/>
    </xf>
    <xf numFmtId="167" fontId="0" fillId="13" borderId="107" xfId="1" applyNumberFormat="1" applyFont="1" applyFill="1" applyBorder="1" applyAlignment="1" applyProtection="1">
      <alignment vertical="center"/>
    </xf>
    <xf numFmtId="167" fontId="0" fillId="13" borderId="106" xfId="1" applyNumberFormat="1" applyFont="1" applyFill="1" applyBorder="1" applyAlignment="1" applyProtection="1">
      <alignment vertical="center"/>
    </xf>
    <xf numFmtId="167" fontId="2" fillId="13" borderId="104" xfId="1" applyNumberFormat="1" applyFont="1" applyFill="1" applyBorder="1" applyAlignment="1" applyProtection="1">
      <alignment vertical="center"/>
    </xf>
    <xf numFmtId="167" fontId="2" fillId="13" borderId="105" xfId="1" applyNumberFormat="1" applyFont="1" applyFill="1" applyBorder="1" applyAlignment="1" applyProtection="1">
      <alignment vertical="center"/>
    </xf>
    <xf numFmtId="171" fontId="0" fillId="0" borderId="9" xfId="0" applyNumberFormat="1" applyBorder="1" applyAlignment="1" applyProtection="1">
      <alignment vertical="center"/>
    </xf>
    <xf numFmtId="0" fontId="26" fillId="0" borderId="9" xfId="0" applyFont="1" applyBorder="1" applyAlignment="1" applyProtection="1">
      <alignment vertical="center"/>
    </xf>
    <xf numFmtId="167" fontId="37" fillId="4" borderId="103" xfId="1" applyNumberFormat="1" applyFont="1" applyFill="1" applyBorder="1" applyAlignment="1" applyProtection="1">
      <alignment vertical="center"/>
      <protection locked="0"/>
    </xf>
    <xf numFmtId="167" fontId="37" fillId="4" borderId="44" xfId="1" applyNumberFormat="1" applyFont="1" applyFill="1" applyBorder="1" applyAlignment="1" applyProtection="1">
      <alignment vertical="center"/>
      <protection locked="0"/>
    </xf>
    <xf numFmtId="167" fontId="37" fillId="4" borderId="43" xfId="1" applyNumberFormat="1" applyFont="1" applyFill="1" applyBorder="1" applyAlignment="1" applyProtection="1">
      <alignment vertical="center"/>
      <protection locked="0"/>
    </xf>
    <xf numFmtId="167" fontId="37" fillId="4" borderId="45" xfId="1" applyNumberFormat="1" applyFont="1" applyFill="1" applyBorder="1" applyAlignment="1" applyProtection="1">
      <alignment vertical="center"/>
      <protection locked="0"/>
    </xf>
    <xf numFmtId="0" fontId="2" fillId="2" borderId="0" xfId="0" applyFont="1" applyFill="1" applyAlignment="1" applyProtection="1">
      <alignment horizontal="center" vertical="center"/>
    </xf>
    <xf numFmtId="0" fontId="0" fillId="15" borderId="0" xfId="0" applyFill="1" applyBorder="1" applyAlignment="1" applyProtection="1">
      <alignment vertical="center"/>
    </xf>
    <xf numFmtId="0" fontId="32" fillId="15" borderId="0" xfId="0" applyFont="1" applyFill="1" applyBorder="1" applyAlignment="1" applyProtection="1">
      <alignment vertical="center"/>
    </xf>
    <xf numFmtId="0" fontId="0" fillId="2" borderId="0" xfId="0" applyFill="1" applyBorder="1" applyAlignment="1" applyProtection="1">
      <alignment vertical="center"/>
    </xf>
    <xf numFmtId="0" fontId="32" fillId="2" borderId="0" xfId="0" applyFont="1" applyFill="1" applyBorder="1" applyAlignment="1" applyProtection="1">
      <alignment vertical="center"/>
    </xf>
    <xf numFmtId="0" fontId="35" fillId="0" borderId="0" xfId="0" applyFont="1" applyAlignment="1">
      <alignment vertical="center"/>
    </xf>
    <xf numFmtId="0" fontId="0" fillId="4" borderId="9" xfId="0" applyFill="1" applyBorder="1" applyAlignment="1">
      <alignment vertical="center"/>
    </xf>
    <xf numFmtId="0" fontId="0" fillId="0" borderId="0" xfId="0" applyAlignment="1">
      <alignment horizontal="left" vertical="center"/>
    </xf>
    <xf numFmtId="0" fontId="0" fillId="6" borderId="9" xfId="0" applyFill="1" applyBorder="1" applyAlignment="1">
      <alignment vertical="center"/>
    </xf>
    <xf numFmtId="0" fontId="0" fillId="16" borderId="9" xfId="0" applyFill="1" applyBorder="1" applyAlignment="1">
      <alignment vertical="center"/>
    </xf>
    <xf numFmtId="0" fontId="48" fillId="0" borderId="0" xfId="0" applyFont="1" applyAlignment="1">
      <alignment vertical="center"/>
    </xf>
    <xf numFmtId="0" fontId="36" fillId="0" borderId="0" xfId="0" applyFont="1" applyAlignment="1">
      <alignment vertical="center"/>
    </xf>
    <xf numFmtId="0" fontId="19" fillId="0" borderId="0" xfId="0" applyFont="1" applyAlignment="1">
      <alignment vertical="center"/>
    </xf>
    <xf numFmtId="0" fontId="2" fillId="0" borderId="0" xfId="0" applyFont="1" applyAlignment="1">
      <alignment vertical="center"/>
    </xf>
    <xf numFmtId="0" fontId="0" fillId="0" borderId="0" xfId="0" applyFont="1" applyAlignment="1">
      <alignment vertical="center"/>
    </xf>
    <xf numFmtId="0" fontId="22" fillId="0" borderId="0" xfId="0" applyFont="1" applyAlignment="1">
      <alignment horizontal="left" vertical="center"/>
    </xf>
    <xf numFmtId="0" fontId="0" fillId="2" borderId="0" xfId="0" applyFill="1" applyAlignment="1">
      <alignment horizontal="left" vertical="center"/>
    </xf>
    <xf numFmtId="167" fontId="22" fillId="13" borderId="67" xfId="0" applyNumberFormat="1" applyFont="1" applyFill="1" applyBorder="1" applyAlignment="1" applyProtection="1">
      <alignment vertical="center"/>
    </xf>
    <xf numFmtId="167" fontId="32" fillId="16" borderId="106" xfId="1" applyNumberFormat="1" applyFont="1" applyFill="1" applyBorder="1" applyAlignment="1" applyProtection="1">
      <alignment vertical="center"/>
    </xf>
    <xf numFmtId="0" fontId="21" fillId="2" borderId="0" xfId="0" applyFont="1" applyFill="1" applyAlignment="1">
      <alignment vertical="center"/>
    </xf>
    <xf numFmtId="0" fontId="2" fillId="2" borderId="0" xfId="0" applyFont="1" applyFill="1" applyAlignment="1">
      <alignment vertical="center"/>
    </xf>
    <xf numFmtId="0" fontId="0" fillId="2" borderId="0" xfId="0" applyFont="1" applyFill="1" applyAlignment="1">
      <alignment vertical="center"/>
    </xf>
    <xf numFmtId="0" fontId="37" fillId="2" borderId="38" xfId="0" applyFont="1" applyFill="1" applyBorder="1" applyAlignment="1" applyProtection="1">
      <alignment horizontal="left" vertical="center" indent="1"/>
    </xf>
    <xf numFmtId="0" fontId="0" fillId="2" borderId="0" xfId="0" applyFont="1" applyFill="1" applyAlignment="1" applyProtection="1">
      <alignment vertical="center"/>
    </xf>
    <xf numFmtId="0" fontId="32" fillId="15" borderId="0" xfId="0" applyFont="1" applyFill="1" applyBorder="1" applyAlignment="1" applyProtection="1">
      <alignment horizontal="right" vertical="center"/>
    </xf>
    <xf numFmtId="0" fontId="41" fillId="0" borderId="0" xfId="0" applyFont="1" applyAlignment="1">
      <alignment horizontal="center" vertical="center"/>
    </xf>
    <xf numFmtId="0" fontId="3" fillId="0" borderId="0" xfId="0" applyFont="1" applyAlignment="1">
      <alignment horizontal="center" vertical="center"/>
    </xf>
    <xf numFmtId="0" fontId="38" fillId="0" borderId="0" xfId="0" applyFont="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6" borderId="38" xfId="0" applyFont="1" applyFill="1" applyBorder="1" applyAlignment="1" applyProtection="1">
      <alignment horizontal="left" vertical="center" indent="1"/>
      <protection locked="0"/>
    </xf>
    <xf numFmtId="0" fontId="0" fillId="6" borderId="39" xfId="0" applyFont="1" applyFill="1" applyBorder="1" applyAlignment="1" applyProtection="1">
      <alignment horizontal="left" vertical="center" indent="1"/>
      <protection locked="0"/>
    </xf>
    <xf numFmtId="0" fontId="0" fillId="6" borderId="37" xfId="0" applyFont="1" applyFill="1" applyBorder="1" applyAlignment="1" applyProtection="1">
      <alignment horizontal="left" vertical="center" indent="1"/>
      <protection locked="0"/>
    </xf>
    <xf numFmtId="0" fontId="0" fillId="6" borderId="80" xfId="0" applyFont="1" applyFill="1" applyBorder="1" applyAlignment="1" applyProtection="1">
      <alignment horizontal="left" vertical="center" indent="1"/>
      <protection locked="0"/>
    </xf>
    <xf numFmtId="0" fontId="0" fillId="6" borderId="81" xfId="0" applyFont="1" applyFill="1" applyBorder="1" applyAlignment="1" applyProtection="1">
      <alignment horizontal="left" vertical="center" indent="1"/>
      <protection locked="0"/>
    </xf>
    <xf numFmtId="0" fontId="0" fillId="6" borderId="84" xfId="0" applyFont="1" applyFill="1" applyBorder="1" applyAlignment="1" applyProtection="1">
      <alignment horizontal="left" vertical="center" indent="1"/>
      <protection locked="0"/>
    </xf>
    <xf numFmtId="0" fontId="0" fillId="6" borderId="38" xfId="0" applyFill="1" applyBorder="1" applyAlignment="1" applyProtection="1">
      <alignment horizontal="left" vertical="center" indent="1"/>
      <protection locked="0"/>
    </xf>
    <xf numFmtId="0" fontId="0" fillId="6" borderId="39" xfId="0" applyFill="1" applyBorder="1" applyAlignment="1" applyProtection="1">
      <alignment horizontal="left" vertical="center" indent="1"/>
      <protection locked="0"/>
    </xf>
    <xf numFmtId="0" fontId="0" fillId="6" borderId="80" xfId="0" applyFill="1" applyBorder="1" applyAlignment="1" applyProtection="1">
      <alignment horizontal="left" vertical="center" indent="1"/>
      <protection locked="0"/>
    </xf>
    <xf numFmtId="0" fontId="0" fillId="6" borderId="81" xfId="0" applyFill="1" applyBorder="1" applyAlignment="1" applyProtection="1">
      <alignment horizontal="left" vertical="center" indent="1"/>
      <protection locked="0"/>
    </xf>
    <xf numFmtId="0" fontId="0" fillId="6" borderId="34" xfId="0" applyFont="1" applyFill="1" applyBorder="1" applyAlignment="1" applyProtection="1">
      <alignment horizontal="left" vertical="center" indent="1"/>
      <protection locked="0"/>
    </xf>
    <xf numFmtId="0" fontId="0" fillId="6" borderId="35" xfId="0" applyFont="1" applyFill="1" applyBorder="1" applyAlignment="1" applyProtection="1">
      <alignment horizontal="left" vertical="center" indent="1"/>
      <protection locked="0"/>
    </xf>
    <xf numFmtId="0" fontId="0" fillId="6" borderId="33" xfId="0" applyFont="1" applyFill="1" applyBorder="1" applyAlignment="1" applyProtection="1">
      <alignment horizontal="left" vertical="center" indent="1"/>
      <protection locked="0"/>
    </xf>
    <xf numFmtId="0" fontId="0" fillId="6" borderId="41" xfId="0" applyFont="1" applyFill="1" applyBorder="1" applyAlignment="1" applyProtection="1">
      <alignment horizontal="left" vertical="center" indent="1"/>
      <protection locked="0"/>
    </xf>
    <xf numFmtId="0" fontId="0" fillId="6" borderId="42" xfId="0" applyFont="1" applyFill="1" applyBorder="1" applyAlignment="1" applyProtection="1">
      <alignment horizontal="left" vertical="center" indent="1"/>
      <protection locked="0"/>
    </xf>
    <xf numFmtId="0" fontId="0" fillId="6" borderId="40" xfId="0" applyFont="1" applyFill="1" applyBorder="1" applyAlignment="1" applyProtection="1">
      <alignment horizontal="left" vertical="center" indent="1"/>
      <protection locked="0"/>
    </xf>
    <xf numFmtId="0" fontId="24" fillId="13" borderId="23" xfId="0" applyFont="1" applyFill="1" applyBorder="1" applyAlignment="1">
      <alignment horizontal="center" vertical="center" wrapText="1"/>
    </xf>
    <xf numFmtId="0" fontId="24" fillId="13" borderId="19"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7" fillId="6" borderId="24" xfId="0" applyFont="1" applyFill="1" applyBorder="1" applyAlignment="1" applyProtection="1">
      <alignment horizontal="left" vertical="center"/>
      <protection locked="0"/>
    </xf>
    <xf numFmtId="0" fontId="22" fillId="0" borderId="7" xfId="0" applyFont="1" applyBorder="1" applyAlignment="1">
      <alignment horizontal="center" vertical="center" textRotation="90"/>
    </xf>
    <xf numFmtId="0" fontId="22" fillId="0" borderId="11" xfId="0" applyFont="1" applyBorder="1" applyAlignment="1">
      <alignment horizontal="center" vertical="center" textRotation="90"/>
    </xf>
    <xf numFmtId="0" fontId="22" fillId="0" borderId="21" xfId="0" applyFont="1" applyBorder="1" applyAlignment="1">
      <alignment horizontal="center" vertical="center" textRotation="90"/>
    </xf>
    <xf numFmtId="0" fontId="0" fillId="6" borderId="34" xfId="0" applyFill="1" applyBorder="1" applyAlignment="1" applyProtection="1">
      <alignment horizontal="left" vertical="center" indent="1"/>
      <protection locked="0"/>
    </xf>
    <xf numFmtId="0" fontId="0" fillId="6" borderId="35" xfId="0" applyFill="1" applyBorder="1" applyAlignment="1" applyProtection="1">
      <alignment horizontal="left" vertical="center" indent="1"/>
      <protection locked="0"/>
    </xf>
    <xf numFmtId="0" fontId="4" fillId="13" borderId="30" xfId="0" applyFont="1" applyFill="1" applyBorder="1" applyAlignment="1">
      <alignment horizontal="center" vertical="center"/>
    </xf>
    <xf numFmtId="0" fontId="4" fillId="13" borderId="31" xfId="0" applyFont="1" applyFill="1" applyBorder="1" applyAlignment="1">
      <alignment horizontal="center" vertical="center"/>
    </xf>
    <xf numFmtId="0" fontId="4" fillId="13" borderId="32" xfId="0" applyFont="1" applyFill="1" applyBorder="1" applyAlignment="1">
      <alignment horizontal="center" vertical="center"/>
    </xf>
    <xf numFmtId="0" fontId="0" fillId="6" borderId="34" xfId="0" applyFill="1" applyBorder="1" applyAlignment="1" applyProtection="1">
      <alignment horizontal="left" vertical="center"/>
      <protection locked="0"/>
    </xf>
    <xf numFmtId="0" fontId="0" fillId="6" borderId="35" xfId="0" applyFill="1" applyBorder="1" applyAlignment="1" applyProtection="1">
      <alignment horizontal="left" vertical="center"/>
      <protection locked="0"/>
    </xf>
    <xf numFmtId="0" fontId="0" fillId="6" borderId="33" xfId="0" applyFill="1" applyBorder="1" applyAlignment="1" applyProtection="1">
      <alignment horizontal="left" vertical="center"/>
      <protection locked="0"/>
    </xf>
    <xf numFmtId="0" fontId="0" fillId="6" borderId="41" xfId="0" applyFill="1" applyBorder="1" applyAlignment="1" applyProtection="1">
      <alignment horizontal="left" vertical="center"/>
      <protection locked="0"/>
    </xf>
    <xf numFmtId="0" fontId="0" fillId="6" borderId="42" xfId="0" applyFill="1" applyBorder="1" applyAlignment="1" applyProtection="1">
      <alignment horizontal="left" vertical="center"/>
      <protection locked="0"/>
    </xf>
    <xf numFmtId="0" fontId="0" fillId="6" borderId="40" xfId="0" applyFill="1" applyBorder="1" applyAlignment="1" applyProtection="1">
      <alignment horizontal="left" vertical="center"/>
      <protection locked="0"/>
    </xf>
    <xf numFmtId="0" fontId="4" fillId="13" borderId="24" xfId="0" applyFont="1" applyFill="1" applyBorder="1" applyAlignment="1">
      <alignment horizontal="center" vertical="center"/>
    </xf>
    <xf numFmtId="0" fontId="4" fillId="13" borderId="20" xfId="0" applyFont="1" applyFill="1" applyBorder="1" applyAlignment="1">
      <alignment horizontal="center" vertical="center"/>
    </xf>
    <xf numFmtId="0" fontId="22" fillId="0" borderId="22" xfId="0" applyFont="1" applyBorder="1" applyAlignment="1">
      <alignment horizontal="center" vertical="center" textRotation="90"/>
    </xf>
    <xf numFmtId="0" fontId="22" fillId="0" borderId="28" xfId="0" applyFont="1" applyBorder="1" applyAlignment="1">
      <alignment horizontal="center" vertical="center" textRotation="90"/>
    </xf>
    <xf numFmtId="0" fontId="21" fillId="6" borderId="35" xfId="0" applyFont="1" applyFill="1" applyBorder="1" applyAlignment="1" applyProtection="1">
      <alignment horizontal="left" vertical="center"/>
      <protection locked="0"/>
    </xf>
    <xf numFmtId="0" fontId="21" fillId="6" borderId="33" xfId="0" applyFont="1" applyFill="1" applyBorder="1" applyAlignment="1" applyProtection="1">
      <alignment horizontal="left" vertical="center"/>
      <protection locked="0"/>
    </xf>
    <xf numFmtId="0" fontId="21" fillId="6" borderId="39" xfId="0" applyFont="1" applyFill="1" applyBorder="1" applyAlignment="1" applyProtection="1">
      <alignment horizontal="left" vertical="center"/>
      <protection locked="0"/>
    </xf>
    <xf numFmtId="0" fontId="21" fillId="6" borderId="37" xfId="0" applyFont="1" applyFill="1" applyBorder="1" applyAlignment="1" applyProtection="1">
      <alignment horizontal="left" vertical="center"/>
      <protection locked="0"/>
    </xf>
    <xf numFmtId="0" fontId="21" fillId="6" borderId="81" xfId="0" applyFont="1" applyFill="1" applyBorder="1" applyAlignment="1" applyProtection="1">
      <alignment horizontal="left" vertical="center"/>
      <protection locked="0"/>
    </xf>
    <xf numFmtId="0" fontId="21" fillId="6" borderId="84" xfId="0" applyFont="1" applyFill="1" applyBorder="1" applyAlignment="1" applyProtection="1">
      <alignment horizontal="left" vertical="center"/>
      <protection locked="0"/>
    </xf>
    <xf numFmtId="0" fontId="2" fillId="13" borderId="3" xfId="0" applyFont="1" applyFill="1" applyBorder="1" applyAlignment="1">
      <alignment horizontal="center" vertical="top"/>
    </xf>
    <xf numFmtId="0" fontId="2" fillId="13" borderId="4" xfId="0" applyFont="1" applyFill="1" applyBorder="1" applyAlignment="1">
      <alignment horizontal="center" vertical="top"/>
    </xf>
    <xf numFmtId="0" fontId="2" fillId="13" borderId="77" xfId="0" applyFont="1" applyFill="1" applyBorder="1" applyAlignment="1">
      <alignment horizontal="center" vertical="center" textRotation="90" wrapText="1"/>
    </xf>
    <xf numFmtId="0" fontId="2" fillId="13" borderId="6" xfId="0" applyFont="1" applyFill="1" applyBorder="1" applyAlignment="1">
      <alignment horizontal="center" vertical="center" textRotation="90" wrapText="1"/>
    </xf>
    <xf numFmtId="0" fontId="2" fillId="13" borderId="47" xfId="0" applyFont="1" applyFill="1" applyBorder="1" applyAlignment="1">
      <alignment horizontal="center" vertical="center" textRotation="90" wrapText="1"/>
    </xf>
    <xf numFmtId="0" fontId="23" fillId="13" borderId="19" xfId="0" applyFont="1" applyFill="1" applyBorder="1" applyAlignment="1">
      <alignment horizontal="center" vertical="center" textRotation="90" wrapText="1"/>
    </xf>
    <xf numFmtId="0" fontId="23" fillId="13" borderId="8" xfId="0" applyFont="1" applyFill="1" applyBorder="1" applyAlignment="1">
      <alignment horizontal="center" vertical="center" textRotation="90" wrapText="1"/>
    </xf>
    <xf numFmtId="0" fontId="23" fillId="13" borderId="20" xfId="0" applyFont="1" applyFill="1" applyBorder="1" applyAlignment="1">
      <alignment horizontal="center" vertical="center" textRotation="90" wrapText="1"/>
    </xf>
    <xf numFmtId="0" fontId="2" fillId="13" borderId="6" xfId="0" applyFont="1" applyFill="1" applyBorder="1" applyAlignment="1">
      <alignment horizontal="center" vertical="center" textRotation="90"/>
    </xf>
    <xf numFmtId="0" fontId="2" fillId="13" borderId="8" xfId="0" applyFont="1" applyFill="1" applyBorder="1" applyAlignment="1">
      <alignment horizontal="center" vertical="center" textRotation="90"/>
    </xf>
    <xf numFmtId="0" fontId="2" fillId="13" borderId="3" xfId="0" applyFont="1" applyFill="1" applyBorder="1" applyAlignment="1">
      <alignment horizontal="center" vertical="center"/>
    </xf>
    <xf numFmtId="0" fontId="2" fillId="13" borderId="2" xfId="0" applyFont="1" applyFill="1" applyBorder="1" applyAlignment="1">
      <alignment horizontal="center" vertical="center"/>
    </xf>
    <xf numFmtId="0" fontId="2" fillId="13" borderId="5" xfId="0" applyFont="1" applyFill="1" applyBorder="1" applyAlignment="1">
      <alignment horizontal="center" vertical="center"/>
    </xf>
    <xf numFmtId="0" fontId="2" fillId="13" borderId="7"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10" xfId="0" applyFont="1" applyFill="1" applyBorder="1" applyAlignment="1">
      <alignment horizontal="center" vertical="center"/>
    </xf>
    <xf numFmtId="0" fontId="21" fillId="13" borderId="22" xfId="0" applyFont="1" applyFill="1" applyBorder="1" applyAlignment="1">
      <alignment horizontal="center" vertical="center"/>
    </xf>
    <xf numFmtId="0" fontId="21" fillId="13" borderId="20" xfId="0" applyFont="1" applyFill="1" applyBorder="1" applyAlignment="1">
      <alignment horizontal="center" vertical="center"/>
    </xf>
    <xf numFmtId="0" fontId="2" fillId="13" borderId="4" xfId="0" applyFont="1" applyFill="1" applyBorder="1" applyAlignment="1">
      <alignment horizontal="center" vertical="center"/>
    </xf>
    <xf numFmtId="0" fontId="2" fillId="13" borderId="8" xfId="0" applyFont="1" applyFill="1" applyBorder="1" applyAlignment="1">
      <alignment horizontal="center" vertical="center"/>
    </xf>
    <xf numFmtId="0" fontId="2" fillId="13" borderId="77" xfId="0" applyFont="1" applyFill="1" applyBorder="1" applyAlignment="1">
      <alignment horizontal="center" vertical="center" textRotation="90"/>
    </xf>
    <xf numFmtId="0" fontId="2" fillId="13" borderId="19" xfId="0" applyFont="1" applyFill="1" applyBorder="1" applyAlignment="1">
      <alignment horizontal="center" vertical="center" textRotation="90"/>
    </xf>
    <xf numFmtId="0" fontId="0" fillId="13" borderId="0" xfId="0" applyFill="1" applyBorder="1" applyAlignment="1">
      <alignment horizontal="left" vertical="center" indent="3"/>
    </xf>
    <xf numFmtId="0" fontId="0" fillId="13" borderId="8" xfId="0" applyFill="1" applyBorder="1" applyAlignment="1">
      <alignment horizontal="left" vertical="center" indent="3"/>
    </xf>
    <xf numFmtId="0" fontId="2" fillId="13" borderId="47" xfId="0" applyFont="1" applyFill="1" applyBorder="1" applyAlignment="1">
      <alignment horizontal="center" vertical="center" textRotation="90"/>
    </xf>
    <xf numFmtId="0" fontId="2" fillId="13" borderId="20" xfId="0" applyFont="1" applyFill="1" applyBorder="1" applyAlignment="1">
      <alignment horizontal="center" vertical="center" textRotation="90"/>
    </xf>
    <xf numFmtId="0" fontId="4" fillId="14" borderId="28" xfId="0" applyFont="1" applyFill="1" applyBorder="1" applyAlignment="1">
      <alignment horizontal="left" vertical="center" wrapText="1"/>
    </xf>
    <xf numFmtId="0" fontId="4" fillId="14" borderId="11" xfId="0" applyFont="1" applyFill="1" applyBorder="1" applyAlignment="1">
      <alignment horizontal="left" vertical="center" wrapText="1"/>
    </xf>
    <xf numFmtId="0" fontId="23" fillId="13" borderId="19" xfId="0" applyFont="1" applyFill="1" applyBorder="1" applyAlignment="1">
      <alignment horizontal="center" vertical="center" textRotation="90"/>
    </xf>
    <xf numFmtId="0" fontId="23" fillId="13" borderId="8" xfId="0" applyFont="1" applyFill="1" applyBorder="1" applyAlignment="1">
      <alignment horizontal="center" vertical="center" textRotation="90"/>
    </xf>
    <xf numFmtId="0" fontId="23" fillId="13" borderId="20" xfId="0" applyFont="1" applyFill="1" applyBorder="1" applyAlignment="1">
      <alignment horizontal="center" vertical="center" textRotation="90"/>
    </xf>
    <xf numFmtId="0" fontId="2" fillId="13" borderId="3" xfId="0" applyFont="1" applyFill="1" applyBorder="1" applyAlignment="1">
      <alignment horizontal="center" vertical="top" wrapText="1"/>
    </xf>
    <xf numFmtId="0" fontId="2" fillId="13" borderId="5" xfId="0" applyFont="1" applyFill="1" applyBorder="1" applyAlignment="1">
      <alignment horizontal="center" vertical="top" wrapText="1"/>
    </xf>
    <xf numFmtId="0" fontId="0" fillId="14" borderId="3" xfId="0" applyFont="1" applyFill="1" applyBorder="1" applyAlignment="1">
      <alignment horizontal="left" vertical="center" wrapText="1" indent="1"/>
    </xf>
    <xf numFmtId="0" fontId="0" fillId="14" borderId="2" xfId="0" applyFont="1" applyFill="1" applyBorder="1" applyAlignment="1">
      <alignment horizontal="left" vertical="center" wrapText="1" indent="1"/>
    </xf>
    <xf numFmtId="0" fontId="0" fillId="14" borderId="5" xfId="0" applyFont="1" applyFill="1" applyBorder="1" applyAlignment="1">
      <alignment horizontal="left" vertical="center" wrapText="1" indent="1"/>
    </xf>
    <xf numFmtId="0" fontId="0" fillId="14" borderId="7" xfId="0" applyFont="1" applyFill="1" applyBorder="1" applyAlignment="1">
      <alignment horizontal="left" vertical="center" wrapText="1" indent="1"/>
    </xf>
    <xf numFmtId="0" fontId="0" fillId="14" borderId="0" xfId="0" applyFont="1" applyFill="1" applyBorder="1" applyAlignment="1">
      <alignment horizontal="left" vertical="center" wrapText="1" indent="1"/>
    </xf>
    <xf numFmtId="0" fontId="0" fillId="14" borderId="10" xfId="0" applyFont="1" applyFill="1" applyBorder="1" applyAlignment="1">
      <alignment horizontal="left" vertical="center" wrapText="1" indent="1"/>
    </xf>
    <xf numFmtId="0" fontId="0" fillId="14" borderId="15" xfId="0" applyFont="1" applyFill="1" applyBorder="1" applyAlignment="1">
      <alignment horizontal="left" vertical="center" wrapText="1" indent="1"/>
    </xf>
    <xf numFmtId="0" fontId="0" fillId="14" borderId="14" xfId="0" applyFont="1" applyFill="1" applyBorder="1" applyAlignment="1">
      <alignment horizontal="left" vertical="center" wrapText="1" indent="1"/>
    </xf>
    <xf numFmtId="0" fontId="0" fillId="14" borderId="13" xfId="0" applyFont="1" applyFill="1" applyBorder="1" applyAlignment="1">
      <alignment horizontal="left" vertical="center" wrapText="1" indent="1"/>
    </xf>
    <xf numFmtId="0" fontId="37" fillId="6" borderId="41" xfId="0" applyFont="1" applyFill="1" applyBorder="1" applyAlignment="1" applyProtection="1">
      <alignment horizontal="left" vertical="center" indent="1"/>
      <protection locked="0"/>
    </xf>
    <xf numFmtId="0" fontId="37" fillId="6" borderId="42" xfId="0" applyFont="1" applyFill="1" applyBorder="1" applyAlignment="1" applyProtection="1">
      <alignment horizontal="left" vertical="center" indent="1"/>
      <protection locked="0"/>
    </xf>
    <xf numFmtId="0" fontId="37" fillId="6" borderId="40" xfId="0" applyFont="1" applyFill="1" applyBorder="1" applyAlignment="1" applyProtection="1">
      <alignment horizontal="left" vertical="center" indent="1"/>
      <protection locked="0"/>
    </xf>
    <xf numFmtId="0" fontId="32" fillId="13" borderId="21" xfId="0" applyFont="1" applyFill="1" applyBorder="1" applyAlignment="1" applyProtection="1">
      <alignment horizontal="center" vertical="center" wrapText="1"/>
    </xf>
    <xf numFmtId="0" fontId="32" fillId="13" borderId="78" xfId="0" applyFont="1" applyFill="1" applyBorder="1" applyAlignment="1" applyProtection="1">
      <alignment horizontal="center" vertical="center" wrapText="1"/>
    </xf>
    <xf numFmtId="0" fontId="32" fillId="13" borderId="7" xfId="0" applyFont="1" applyFill="1" applyBorder="1" applyAlignment="1" applyProtection="1">
      <alignment horizontal="center" vertical="center" wrapText="1"/>
    </xf>
    <xf numFmtId="0" fontId="32" fillId="13" borderId="10" xfId="0" applyFont="1" applyFill="1" applyBorder="1" applyAlignment="1" applyProtection="1">
      <alignment horizontal="center" vertical="center" wrapText="1"/>
    </xf>
    <xf numFmtId="0" fontId="32" fillId="13" borderId="101" xfId="0" applyFont="1" applyFill="1" applyBorder="1" applyAlignment="1" applyProtection="1">
      <alignment horizontal="center" vertical="center" wrapText="1"/>
    </xf>
    <xf numFmtId="0" fontId="32" fillId="13" borderId="102" xfId="0" applyFont="1" applyFill="1" applyBorder="1" applyAlignment="1" applyProtection="1">
      <alignment horizontal="center" vertical="center" wrapText="1"/>
    </xf>
    <xf numFmtId="167" fontId="32" fillId="13" borderId="21" xfId="1" applyNumberFormat="1" applyFont="1" applyFill="1" applyBorder="1" applyAlignment="1" applyProtection="1">
      <alignment horizontal="center" vertical="center"/>
    </xf>
    <xf numFmtId="167" fontId="32" fillId="13" borderId="78" xfId="1" applyNumberFormat="1" applyFont="1" applyFill="1" applyBorder="1" applyAlignment="1" applyProtection="1">
      <alignment horizontal="center" vertical="center"/>
    </xf>
    <xf numFmtId="167" fontId="32" fillId="13" borderId="7" xfId="1" applyNumberFormat="1" applyFont="1" applyFill="1" applyBorder="1" applyAlignment="1" applyProtection="1">
      <alignment horizontal="center" vertical="center"/>
    </xf>
    <xf numFmtId="167" fontId="32" fillId="13" borderId="10" xfId="1" applyNumberFormat="1" applyFont="1" applyFill="1" applyBorder="1" applyAlignment="1" applyProtection="1">
      <alignment horizontal="center" vertical="center"/>
    </xf>
    <xf numFmtId="167" fontId="32" fillId="13" borderId="101" xfId="1" applyNumberFormat="1" applyFont="1" applyFill="1" applyBorder="1" applyAlignment="1" applyProtection="1">
      <alignment horizontal="center" vertical="center"/>
    </xf>
    <xf numFmtId="167" fontId="32" fillId="13" borderId="102" xfId="1" applyNumberFormat="1" applyFont="1" applyFill="1" applyBorder="1" applyAlignment="1" applyProtection="1">
      <alignment horizontal="center" vertical="center"/>
    </xf>
    <xf numFmtId="0" fontId="37" fillId="6" borderId="28" xfId="0" applyFont="1" applyFill="1" applyBorder="1" applyAlignment="1">
      <alignment horizontal="center" vertical="center" textRotation="90" wrapText="1"/>
    </xf>
    <xf numFmtId="0" fontId="37" fillId="6" borderId="17" xfId="0" applyFont="1" applyFill="1" applyBorder="1" applyAlignment="1">
      <alignment horizontal="center" vertical="center" textRotation="90" wrapText="1"/>
    </xf>
    <xf numFmtId="0" fontId="0" fillId="16" borderId="30" xfId="0" applyFill="1" applyBorder="1" applyAlignment="1">
      <alignment horizontal="center" vertical="center"/>
    </xf>
    <xf numFmtId="0" fontId="0" fillId="16" borderId="32" xfId="0" applyFill="1" applyBorder="1" applyAlignment="1">
      <alignment horizontal="center" vertical="center"/>
    </xf>
    <xf numFmtId="0" fontId="0" fillId="17" borderId="22" xfId="0" applyFill="1" applyBorder="1" applyAlignment="1">
      <alignment horizontal="center" vertical="center"/>
    </xf>
    <xf numFmtId="0" fontId="0" fillId="17" borderId="20" xfId="0" applyFill="1" applyBorder="1" applyAlignment="1">
      <alignment horizontal="center" vertical="center"/>
    </xf>
    <xf numFmtId="0" fontId="0" fillId="16" borderId="31" xfId="0" applyFill="1" applyBorder="1" applyAlignment="1">
      <alignment horizontal="center" vertical="center"/>
    </xf>
    <xf numFmtId="0" fontId="0" fillId="17" borderId="91" xfId="0" applyFill="1" applyBorder="1" applyAlignment="1">
      <alignment horizontal="center" vertical="center"/>
    </xf>
    <xf numFmtId="0" fontId="0" fillId="17" borderId="93" xfId="0" applyFill="1" applyBorder="1" applyAlignment="1">
      <alignment horizontal="center" vertical="center"/>
    </xf>
    <xf numFmtId="0" fontId="0" fillId="17" borderId="92" xfId="0" applyFill="1" applyBorder="1" applyAlignment="1">
      <alignment horizontal="center" vertical="center"/>
    </xf>
    <xf numFmtId="0" fontId="0" fillId="17" borderId="88" xfId="0" applyFill="1" applyBorder="1" applyAlignment="1">
      <alignment horizontal="center" vertical="center"/>
    </xf>
    <xf numFmtId="0" fontId="0" fillId="0" borderId="79" xfId="0" applyBorder="1" applyAlignment="1">
      <alignment horizontal="center" vertical="center"/>
    </xf>
    <xf numFmtId="0" fontId="0" fillId="0" borderId="39" xfId="0" applyBorder="1" applyAlignment="1">
      <alignment horizontal="center"/>
    </xf>
    <xf numFmtId="0" fontId="0" fillId="16" borderId="22" xfId="0" applyFill="1" applyBorder="1" applyAlignment="1">
      <alignment horizontal="center" vertical="center"/>
    </xf>
    <xf numFmtId="0" fontId="0" fillId="16" borderId="24" xfId="0" applyFill="1" applyBorder="1" applyAlignment="1">
      <alignment horizontal="center" vertical="center"/>
    </xf>
    <xf numFmtId="0" fontId="0" fillId="16" borderId="20" xfId="0" applyFill="1" applyBorder="1" applyAlignment="1">
      <alignment horizontal="center" vertical="center"/>
    </xf>
    <xf numFmtId="0" fontId="0" fillId="0" borderId="71" xfId="0" applyBorder="1" applyAlignment="1">
      <alignment horizontal="center" vertical="center"/>
    </xf>
  </cellXfs>
  <cellStyles count="55">
    <cellStyle name="dgr_Z+02nr_AS8w_kR_G" xfId="7"/>
    <cellStyle name="gr_Z+02nr_Zz_AFK8_kR_G" xfId="8"/>
    <cellStyle name="grau_Z+0nr_Sz_AS8_kR_G" xfId="9"/>
    <cellStyle name="hbl_Z+0nr_Sz_AS8_Ruor_G" xfId="10"/>
    <cellStyle name="hgr_Z+02nr_Sz_AS8_kR_G" xfId="11"/>
    <cellStyle name="Komma" xfId="1" builtinId="3"/>
    <cellStyle name="M_grau_S_Zz_AF12_R_G" xfId="2"/>
    <cellStyle name="M_grau_S_Zz_AF12_Rlr_G" xfId="3"/>
    <cellStyle name="M_grau_S_Zz_AF12_Rlru_G" xfId="12"/>
    <cellStyle name="M_grau_Z+0nr_Sz_AF10_R_G" xfId="13"/>
    <cellStyle name="M_grau_Z+2nr_Sz_AF10_R_G" xfId="14"/>
    <cellStyle name="M_w_Z+%0_Sz_AS10_R_G" xfId="15"/>
    <cellStyle name="M_w_Z+%2_Sz_AS10_R_G" xfId="16"/>
    <cellStyle name="M_w_Z+0nr_Sz_AF10_R_G" xfId="17"/>
    <cellStyle name="M_w_Z+0nr_Sz_AS10_R_G" xfId="5"/>
    <cellStyle name="M_w_Z+0nr_Sz_AS8_R_G" xfId="18"/>
    <cellStyle name="M_w_Z+0nr_Zz_AF10rot_R_G" xfId="4"/>
    <cellStyle name="M_w_Z+2nr_Sz_AF10_R_G" xfId="19"/>
    <cellStyle name="M_w_Z+2nr_Sz_AS10_R_G" xfId="6"/>
    <cellStyle name="ock_Z+0nr_Zz_AS6_kR_G" xfId="20"/>
    <cellStyle name="ros_Z+0nr_Sz_AS8_Ruor_G" xfId="21"/>
    <cellStyle name="rosa_Z+0nr_Sz_AS8_kR_G" xfId="22"/>
    <cellStyle name="Standard" xfId="0" builtinId="0"/>
    <cellStyle name="Standard 2" xfId="23"/>
    <cellStyle name="w_S_Rz_AS8_Ror_G" xfId="24"/>
    <cellStyle name="w_S_Rz_AS8_Rr_G" xfId="25"/>
    <cellStyle name="w_S_Rz_AS8_Rru_G" xfId="26"/>
    <cellStyle name="w_S_Sz_AnF8_Rl_G" xfId="27"/>
    <cellStyle name="w_S_Sz_AnF8_Rlo_G" xfId="28"/>
    <cellStyle name="w_S_Sz_AnS8_Rl_G" xfId="29"/>
    <cellStyle name="w_S_Sz_AnS8_Rlo_G" xfId="30"/>
    <cellStyle name="w_S_Sz_AS8_Rl_G" xfId="31"/>
    <cellStyle name="w_S_Sz_AS8_Rlo_G" xfId="32"/>
    <cellStyle name="w_S_Sz_AS8_Rul_G" xfId="33"/>
    <cellStyle name="w_S_Zz_AF8_kR_G" xfId="34"/>
    <cellStyle name="w_S_Zz_AF8_Ro_G" xfId="35"/>
    <cellStyle name="w_S_Zz_AF8_Ru_G" xfId="36"/>
    <cellStyle name="w_S_Zz_AnF8_kR_G" xfId="37"/>
    <cellStyle name="w_S_Zz_AnS8_kR_G" xfId="38"/>
    <cellStyle name="w_S_Zz_AnS8_Ro_G" xfId="39"/>
    <cellStyle name="w_S_Zz_AnS8_Ru_G" xfId="40"/>
    <cellStyle name="w_S_Zz_AS8_kR_G" xfId="41"/>
    <cellStyle name="w_S_Zz_AS8_Ro_G" xfId="42"/>
    <cellStyle name="w_S_Zz_AS8_Ru_G" xfId="43"/>
    <cellStyle name="w_Z+02nr_Sz_AF10_kR_G" xfId="44"/>
    <cellStyle name="w_Z+02nr_Sz_AF11_kR_G" xfId="45"/>
    <cellStyle name="w_Z+02nr_Sz_AF12_kR_G" xfId="46"/>
    <cellStyle name="w_Z+02nr_Sz_AF16_kR_G" xfId="47"/>
    <cellStyle name="w_Z+02nr_Sz_AS10_kR_G" xfId="48"/>
    <cellStyle name="w_Z+02nr_Sz_AS11_kR_G" xfId="49"/>
    <cellStyle name="w_Z+02nr_Sz_AS8_kR_G" xfId="50"/>
    <cellStyle name="w_Z+02nr_Zz_AF8_kR_G" xfId="51"/>
    <cellStyle name="w_Z+02nr_Zz_AS8_kR_G" xfId="52"/>
    <cellStyle name="w_Z+0nr_Sz_AF10_Ruo_G" xfId="53"/>
    <cellStyle name="w_Z+0nr_Sz_AS8_Ruo_G" xfId="54"/>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EC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Scroll" dx="15" fmlaLink="$L$33" horiz="1" max="30" min="10" page="10" val="10"/>
</file>

<file path=xl/ctrlProps/ctrlProp10.xml><?xml version="1.0" encoding="utf-8"?>
<formControlPr xmlns="http://schemas.microsoft.com/office/spreadsheetml/2009/9/main" objectType="Scroll" dx="15" fmlaLink="$E$57" horiz="1" max="20" page="10"/>
</file>

<file path=xl/ctrlProps/ctrlProp11.xml><?xml version="1.0" encoding="utf-8"?>
<formControlPr xmlns="http://schemas.microsoft.com/office/spreadsheetml/2009/9/main" objectType="Scroll" dx="15" fmlaLink="$E$58" horiz="1" max="20" page="10"/>
</file>

<file path=xl/ctrlProps/ctrlProp12.xml><?xml version="1.0" encoding="utf-8"?>
<formControlPr xmlns="http://schemas.microsoft.com/office/spreadsheetml/2009/9/main" objectType="Scroll" dx="15" fmlaLink="$L$37" horiz="1" max="30" min="10" page="10" val="10"/>
</file>

<file path=xl/ctrlProps/ctrlProp13.xml><?xml version="1.0" encoding="utf-8"?>
<formControlPr xmlns="http://schemas.microsoft.com/office/spreadsheetml/2009/9/main" objectType="Scroll" dx="15" fmlaLink="$L$38" horiz="1" max="30" min="10" page="10" val="10"/>
</file>

<file path=xl/ctrlProps/ctrlProp14.xml><?xml version="1.0" encoding="utf-8"?>
<formControlPr xmlns="http://schemas.microsoft.com/office/spreadsheetml/2009/9/main" objectType="Scroll" dx="15" fmlaLink="$L$39" horiz="1" max="30" min="10" page="10" val="10"/>
</file>

<file path=xl/ctrlProps/ctrlProp15.xml><?xml version="1.0" encoding="utf-8"?>
<formControlPr xmlns="http://schemas.microsoft.com/office/spreadsheetml/2009/9/main" objectType="Scroll" dx="15" fmlaLink="$L$40" horiz="1" max="30" min="10" page="10" val="10"/>
</file>

<file path=xl/ctrlProps/ctrlProp16.xml><?xml version="1.0" encoding="utf-8"?>
<formControlPr xmlns="http://schemas.microsoft.com/office/spreadsheetml/2009/9/main" objectType="Scroll" dx="15" fmlaLink="$E$49" horiz="1" max="20" page="10"/>
</file>

<file path=xl/ctrlProps/ctrlProp17.xml><?xml version="1.0" encoding="utf-8"?>
<formControlPr xmlns="http://schemas.microsoft.com/office/spreadsheetml/2009/9/main" objectType="Scroll" dx="15" fmlaLink="$J$8" horiz="1" max="12" min="3" page="10" val="3"/>
</file>

<file path=xl/ctrlProps/ctrlProp2.xml><?xml version="1.0" encoding="utf-8"?>
<formControlPr xmlns="http://schemas.microsoft.com/office/spreadsheetml/2009/9/main" objectType="Scroll" dx="15" fmlaLink="$L$34" horiz="1" max="30" min="10" page="10" val="10"/>
</file>

<file path=xl/ctrlProps/ctrlProp3.xml><?xml version="1.0" encoding="utf-8"?>
<formControlPr xmlns="http://schemas.microsoft.com/office/spreadsheetml/2009/9/main" objectType="Scroll" dx="15" fmlaLink="$L$35" horiz="1" max="30" min="10" page="10" val="10"/>
</file>

<file path=xl/ctrlProps/ctrlProp4.xml><?xml version="1.0" encoding="utf-8"?>
<formControlPr xmlns="http://schemas.microsoft.com/office/spreadsheetml/2009/9/main" objectType="Scroll" dx="15" fmlaLink="$L$36" horiz="1" max="30" min="10" page="10" val="10"/>
</file>

<file path=xl/ctrlProps/ctrlProp5.xml><?xml version="1.0" encoding="utf-8"?>
<formControlPr xmlns="http://schemas.microsoft.com/office/spreadsheetml/2009/9/main" objectType="Scroll" dx="15" fmlaLink="$E$50" horiz="1" max="20" page="10"/>
</file>

<file path=xl/ctrlProps/ctrlProp6.xml><?xml version="1.0" encoding="utf-8"?>
<formControlPr xmlns="http://schemas.microsoft.com/office/spreadsheetml/2009/9/main" objectType="Scroll" dx="15" fmlaLink="$E$51" horiz="1" max="20" page="10"/>
</file>

<file path=xl/ctrlProps/ctrlProp7.xml><?xml version="1.0" encoding="utf-8"?>
<formControlPr xmlns="http://schemas.microsoft.com/office/spreadsheetml/2009/9/main" objectType="Scroll" dx="15" fmlaLink="$E$52" horiz="1" max="20" page="10"/>
</file>

<file path=xl/ctrlProps/ctrlProp8.xml><?xml version="1.0" encoding="utf-8"?>
<formControlPr xmlns="http://schemas.microsoft.com/office/spreadsheetml/2009/9/main" objectType="Scroll" dx="15" fmlaLink="$E$55" horiz="1" max="20" page="10"/>
</file>

<file path=xl/ctrlProps/ctrlProp9.xml><?xml version="1.0" encoding="utf-8"?>
<formControlPr xmlns="http://schemas.microsoft.com/office/spreadsheetml/2009/9/main" objectType="Scroll" dx="15" fmlaLink="$E$56" horiz="1" max="20" page="10"/>
</file>

<file path=xl/drawings/_rels/drawing1.xml.rels><?xml version="1.0" encoding="UTF-8" standalone="yes"?>
<Relationships xmlns="http://schemas.openxmlformats.org/package/2006/relationships"><Relationship Id="rId1" Type="http://schemas.openxmlformats.org/officeDocument/2006/relationships/hyperlink" Target="#'Kapazit&#228;ten fl&#252;ssig'!A29"/></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inweise!A51"/><Relationship Id="rId1" Type="http://schemas.openxmlformats.org/officeDocument/2006/relationships/hyperlink" Target="#'Weitere Zufl&#252;sse'!A27"/></Relationships>
</file>

<file path=xl/drawings/_rels/drawing3.xml.rels><?xml version="1.0" encoding="UTF-8" standalone="yes"?>
<Relationships xmlns="http://schemas.openxmlformats.org/package/2006/relationships"><Relationship Id="rId1" Type="http://schemas.openxmlformats.org/officeDocument/2006/relationships/hyperlink" Target="#'Weitere Zufl&#252;sse'!A17"/></Relationships>
</file>

<file path=xl/drawings/_rels/drawing4.xml.rels><?xml version="1.0" encoding="UTF-8" standalone="yes"?>
<Relationships xmlns="http://schemas.openxmlformats.org/package/2006/relationships"><Relationship Id="rId2" Type="http://schemas.openxmlformats.org/officeDocument/2006/relationships/hyperlink" Target="#Klimadaten!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hyperlink" Target="#'Kapazit&#228;ten fl&#252;ssig'!A1"/><Relationship Id="rId1" Type="http://schemas.openxmlformats.org/officeDocument/2006/relationships/hyperlink" Target="#'Kapazit&#228;ten fest'!A1"/></Relationships>
</file>

<file path=xl/drawings/_rels/drawing7.xml.rels><?xml version="1.0" encoding="UTF-8" standalone="yes"?>
<Relationships xmlns="http://schemas.openxmlformats.org/package/2006/relationships"><Relationship Id="rId1" Type="http://schemas.openxmlformats.org/officeDocument/2006/relationships/hyperlink" Target="#Sickersaft!A1"/></Relationships>
</file>

<file path=xl/drawings/_rels/drawing8.xml.rels><?xml version="1.0" encoding="UTF-8" standalone="yes"?>
<Relationships xmlns="http://schemas.openxmlformats.org/package/2006/relationships"><Relationship Id="rId1" Type="http://schemas.openxmlformats.org/officeDocument/2006/relationships/hyperlink" Target="#Sickersaft!D44"/></Relationships>
</file>

<file path=xl/drawings/drawing1.xml><?xml version="1.0" encoding="utf-8"?>
<xdr:wsDr xmlns:xdr="http://schemas.openxmlformats.org/drawingml/2006/spreadsheetDrawing" xmlns:a="http://schemas.openxmlformats.org/drawingml/2006/main">
  <xdr:twoCellAnchor>
    <xdr:from>
      <xdr:col>6</xdr:col>
      <xdr:colOff>1028700</xdr:colOff>
      <xdr:row>49</xdr:row>
      <xdr:rowOff>38100</xdr:rowOff>
    </xdr:from>
    <xdr:to>
      <xdr:col>6</xdr:col>
      <xdr:colOff>1285875</xdr:colOff>
      <xdr:row>49</xdr:row>
      <xdr:rowOff>171450</xdr:rowOff>
    </xdr:to>
    <xdr:sp macro="" textlink="">
      <xdr:nvSpPr>
        <xdr:cNvPr id="10" name="Pfeil nach rechts 9">
          <a:hlinkClick xmlns:r="http://schemas.openxmlformats.org/officeDocument/2006/relationships" r:id="rId1"/>
        </xdr:cNvPr>
        <xdr:cNvSpPr/>
      </xdr:nvSpPr>
      <xdr:spPr>
        <a:xfrm>
          <a:off x="4657725" y="9696450"/>
          <a:ext cx="257175" cy="133350"/>
        </a:xfrm>
        <a:prstGeom prst="rightArrow">
          <a:avLst/>
        </a:prstGeom>
        <a:solidFill>
          <a:srgbClr val="FFC000"/>
        </a:solidFill>
        <a:ln w="25400" cap="flat" cmpd="sng" algn="ctr">
          <a:solidFill>
            <a:srgbClr val="FFC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0</xdr:colOff>
          <xdr:row>31</xdr:row>
          <xdr:rowOff>228600</xdr:rowOff>
        </xdr:from>
        <xdr:to>
          <xdr:col>4</xdr:col>
          <xdr:colOff>0</xdr:colOff>
          <xdr:row>32</xdr:row>
          <xdr:rowOff>228600</xdr:rowOff>
        </xdr:to>
        <xdr:sp macro="" textlink="">
          <xdr:nvSpPr>
            <xdr:cNvPr id="7182" name="Scroll Bar 14" hidden="1">
              <a:extLst>
                <a:ext uri="{63B3BB69-23CF-44E3-9099-C40C66FF867C}">
                  <a14:compatExt spid="_x0000_s7182"/>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32</xdr:row>
          <xdr:rowOff>228600</xdr:rowOff>
        </xdr:from>
        <xdr:to>
          <xdr:col>4</xdr:col>
          <xdr:colOff>0</xdr:colOff>
          <xdr:row>33</xdr:row>
          <xdr:rowOff>228600</xdr:rowOff>
        </xdr:to>
        <xdr:sp macro="" textlink="">
          <xdr:nvSpPr>
            <xdr:cNvPr id="7183" name="Scroll Bar 15" hidden="1">
              <a:extLst>
                <a:ext uri="{63B3BB69-23CF-44E3-9099-C40C66FF867C}">
                  <a14:compatExt spid="_x0000_s7183"/>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33</xdr:row>
          <xdr:rowOff>228600</xdr:rowOff>
        </xdr:from>
        <xdr:to>
          <xdr:col>4</xdr:col>
          <xdr:colOff>0</xdr:colOff>
          <xdr:row>34</xdr:row>
          <xdr:rowOff>228600</xdr:rowOff>
        </xdr:to>
        <xdr:sp macro="" textlink="">
          <xdr:nvSpPr>
            <xdr:cNvPr id="7184" name="Scroll Bar 16" hidden="1">
              <a:extLst>
                <a:ext uri="{63B3BB69-23CF-44E3-9099-C40C66FF867C}">
                  <a14:compatExt spid="_x0000_s7184"/>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34</xdr:row>
          <xdr:rowOff>228600</xdr:rowOff>
        </xdr:from>
        <xdr:to>
          <xdr:col>4</xdr:col>
          <xdr:colOff>0</xdr:colOff>
          <xdr:row>35</xdr:row>
          <xdr:rowOff>228600</xdr:rowOff>
        </xdr:to>
        <xdr:sp macro="" textlink="">
          <xdr:nvSpPr>
            <xdr:cNvPr id="7185" name="Scroll Bar 17" hidden="1">
              <a:extLst>
                <a:ext uri="{63B3BB69-23CF-44E3-9099-C40C66FF867C}">
                  <a14:compatExt spid="_x0000_s7185"/>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48</xdr:row>
          <xdr:rowOff>219075</xdr:rowOff>
        </xdr:from>
        <xdr:to>
          <xdr:col>4</xdr:col>
          <xdr:colOff>0</xdr:colOff>
          <xdr:row>49</xdr:row>
          <xdr:rowOff>219075</xdr:rowOff>
        </xdr:to>
        <xdr:sp macro="" textlink="">
          <xdr:nvSpPr>
            <xdr:cNvPr id="7193" name="Scroll Bar 25" hidden="1">
              <a:extLst>
                <a:ext uri="{63B3BB69-23CF-44E3-9099-C40C66FF867C}">
                  <a14:compatExt spid="_x0000_s7193"/>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49</xdr:row>
          <xdr:rowOff>219075</xdr:rowOff>
        </xdr:from>
        <xdr:to>
          <xdr:col>4</xdr:col>
          <xdr:colOff>0</xdr:colOff>
          <xdr:row>50</xdr:row>
          <xdr:rowOff>219075</xdr:rowOff>
        </xdr:to>
        <xdr:sp macro="" textlink="">
          <xdr:nvSpPr>
            <xdr:cNvPr id="7194" name="Scroll Bar 26" hidden="1">
              <a:extLst>
                <a:ext uri="{63B3BB69-23CF-44E3-9099-C40C66FF867C}">
                  <a14:compatExt spid="_x0000_s7194"/>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50</xdr:row>
          <xdr:rowOff>219075</xdr:rowOff>
        </xdr:from>
        <xdr:to>
          <xdr:col>4</xdr:col>
          <xdr:colOff>0</xdr:colOff>
          <xdr:row>51</xdr:row>
          <xdr:rowOff>219075</xdr:rowOff>
        </xdr:to>
        <xdr:sp macro="" textlink="">
          <xdr:nvSpPr>
            <xdr:cNvPr id="7196" name="Scroll Bar 28" hidden="1">
              <a:extLst>
                <a:ext uri="{63B3BB69-23CF-44E3-9099-C40C66FF867C}">
                  <a14:compatExt spid="_x0000_s7196"/>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53</xdr:row>
          <xdr:rowOff>152400</xdr:rowOff>
        </xdr:from>
        <xdr:to>
          <xdr:col>4</xdr:col>
          <xdr:colOff>0</xdr:colOff>
          <xdr:row>54</xdr:row>
          <xdr:rowOff>200025</xdr:rowOff>
        </xdr:to>
        <xdr:sp macro="" textlink="">
          <xdr:nvSpPr>
            <xdr:cNvPr id="7197" name="Scroll Bar 29" hidden="1">
              <a:extLst>
                <a:ext uri="{63B3BB69-23CF-44E3-9099-C40C66FF867C}">
                  <a14:compatExt spid="_x0000_s7197"/>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54</xdr:row>
          <xdr:rowOff>209550</xdr:rowOff>
        </xdr:from>
        <xdr:to>
          <xdr:col>4</xdr:col>
          <xdr:colOff>0</xdr:colOff>
          <xdr:row>55</xdr:row>
          <xdr:rowOff>209550</xdr:rowOff>
        </xdr:to>
        <xdr:sp macro="" textlink="">
          <xdr:nvSpPr>
            <xdr:cNvPr id="7198" name="Scroll Bar 30" hidden="1">
              <a:extLst>
                <a:ext uri="{63B3BB69-23CF-44E3-9099-C40C66FF867C}">
                  <a14:compatExt spid="_x0000_s7198"/>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55</xdr:row>
          <xdr:rowOff>219075</xdr:rowOff>
        </xdr:from>
        <xdr:to>
          <xdr:col>4</xdr:col>
          <xdr:colOff>0</xdr:colOff>
          <xdr:row>56</xdr:row>
          <xdr:rowOff>219075</xdr:rowOff>
        </xdr:to>
        <xdr:sp macro="" textlink="">
          <xdr:nvSpPr>
            <xdr:cNvPr id="7199" name="Scroll Bar 31" hidden="1">
              <a:extLst>
                <a:ext uri="{63B3BB69-23CF-44E3-9099-C40C66FF867C}">
                  <a14:compatExt spid="_x0000_s7199"/>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56</xdr:row>
          <xdr:rowOff>219075</xdr:rowOff>
        </xdr:from>
        <xdr:to>
          <xdr:col>4</xdr:col>
          <xdr:colOff>0</xdr:colOff>
          <xdr:row>57</xdr:row>
          <xdr:rowOff>219075</xdr:rowOff>
        </xdr:to>
        <xdr:sp macro="" textlink="">
          <xdr:nvSpPr>
            <xdr:cNvPr id="7200" name="Scroll Bar 32" hidden="1">
              <a:extLst>
                <a:ext uri="{63B3BB69-23CF-44E3-9099-C40C66FF867C}">
                  <a14:compatExt spid="_x0000_s7200"/>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xdr:twoCellAnchor>
    <xdr:from>
      <xdr:col>7</xdr:col>
      <xdr:colOff>57150</xdr:colOff>
      <xdr:row>4</xdr:row>
      <xdr:rowOff>47625</xdr:rowOff>
    </xdr:from>
    <xdr:to>
      <xdr:col>7</xdr:col>
      <xdr:colOff>314325</xdr:colOff>
      <xdr:row>4</xdr:row>
      <xdr:rowOff>180975</xdr:rowOff>
    </xdr:to>
    <xdr:sp macro="" textlink="">
      <xdr:nvSpPr>
        <xdr:cNvPr id="14" name="Pfeil nach rechts 13">
          <a:hlinkClick xmlns:r="http://schemas.openxmlformats.org/officeDocument/2006/relationships" r:id="rId1"/>
        </xdr:cNvPr>
        <xdr:cNvSpPr/>
      </xdr:nvSpPr>
      <xdr:spPr>
        <a:xfrm>
          <a:off x="4953000" y="342900"/>
          <a:ext cx="257175" cy="133350"/>
        </a:xfrm>
        <a:prstGeom prst="right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fPrintsWithSheet="0"/>
  </xdr:twoCellAnchor>
  <mc:AlternateContent xmlns:mc="http://schemas.openxmlformats.org/markup-compatibility/2006">
    <mc:Choice xmlns:a14="http://schemas.microsoft.com/office/drawing/2010/main" Requires="a14">
      <xdr:twoCellAnchor editAs="absolute">
        <xdr:from>
          <xdr:col>3</xdr:col>
          <xdr:colOff>0</xdr:colOff>
          <xdr:row>35</xdr:row>
          <xdr:rowOff>228600</xdr:rowOff>
        </xdr:from>
        <xdr:to>
          <xdr:col>4</xdr:col>
          <xdr:colOff>0</xdr:colOff>
          <xdr:row>36</xdr:row>
          <xdr:rowOff>228600</xdr:rowOff>
        </xdr:to>
        <xdr:sp macro="" textlink="">
          <xdr:nvSpPr>
            <xdr:cNvPr id="7204" name="Scroll Bar 36" hidden="1">
              <a:extLst>
                <a:ext uri="{63B3BB69-23CF-44E3-9099-C40C66FF867C}">
                  <a14:compatExt spid="_x0000_s7204"/>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36</xdr:row>
          <xdr:rowOff>228600</xdr:rowOff>
        </xdr:from>
        <xdr:to>
          <xdr:col>4</xdr:col>
          <xdr:colOff>0</xdr:colOff>
          <xdr:row>37</xdr:row>
          <xdr:rowOff>228600</xdr:rowOff>
        </xdr:to>
        <xdr:sp macro="" textlink="">
          <xdr:nvSpPr>
            <xdr:cNvPr id="7205" name="Scroll Bar 37" hidden="1">
              <a:extLst>
                <a:ext uri="{63B3BB69-23CF-44E3-9099-C40C66FF867C}">
                  <a14:compatExt spid="_x0000_s7205"/>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37</xdr:row>
          <xdr:rowOff>228600</xdr:rowOff>
        </xdr:from>
        <xdr:to>
          <xdr:col>4</xdr:col>
          <xdr:colOff>0</xdr:colOff>
          <xdr:row>38</xdr:row>
          <xdr:rowOff>228600</xdr:rowOff>
        </xdr:to>
        <xdr:sp macro="" textlink="">
          <xdr:nvSpPr>
            <xdr:cNvPr id="7206" name="Scroll Bar 38" hidden="1">
              <a:extLst>
                <a:ext uri="{63B3BB69-23CF-44E3-9099-C40C66FF867C}">
                  <a14:compatExt spid="_x0000_s7206"/>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38</xdr:row>
          <xdr:rowOff>228600</xdr:rowOff>
        </xdr:from>
        <xdr:to>
          <xdr:col>4</xdr:col>
          <xdr:colOff>0</xdr:colOff>
          <xdr:row>39</xdr:row>
          <xdr:rowOff>228600</xdr:rowOff>
        </xdr:to>
        <xdr:sp macro="" textlink="">
          <xdr:nvSpPr>
            <xdr:cNvPr id="7207" name="Scroll Bar 39" hidden="1">
              <a:extLst>
                <a:ext uri="{63B3BB69-23CF-44E3-9099-C40C66FF867C}">
                  <a14:compatExt spid="_x0000_s7207"/>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xdr:twoCellAnchor editAs="oneCell">
    <xdr:from>
      <xdr:col>3</xdr:col>
      <xdr:colOff>447675</xdr:colOff>
      <xdr:row>30</xdr:row>
      <xdr:rowOff>38100</xdr:rowOff>
    </xdr:from>
    <xdr:to>
      <xdr:col>3</xdr:col>
      <xdr:colOff>807370</xdr:colOff>
      <xdr:row>31</xdr:row>
      <xdr:rowOff>147477</xdr:rowOff>
    </xdr:to>
    <xdr:pic>
      <xdr:nvPicPr>
        <xdr:cNvPr id="3" name="Grafik 2">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1724025" y="6048375"/>
          <a:ext cx="359695" cy="347502"/>
        </a:xfrm>
        <a:prstGeom prst="rect">
          <a:avLst/>
        </a:prstGeom>
      </xdr:spPr>
    </xdr:pic>
    <xdr:clientData/>
  </xdr:twoCellAnchor>
  <xdr:twoCellAnchor>
    <xdr:from>
      <xdr:col>7</xdr:col>
      <xdr:colOff>390525</xdr:colOff>
      <xdr:row>4</xdr:row>
      <xdr:rowOff>0</xdr:rowOff>
    </xdr:from>
    <xdr:to>
      <xdr:col>10</xdr:col>
      <xdr:colOff>0</xdr:colOff>
      <xdr:row>4</xdr:row>
      <xdr:rowOff>247650</xdr:rowOff>
    </xdr:to>
    <xdr:sp macro="" textlink="">
      <xdr:nvSpPr>
        <xdr:cNvPr id="4" name="Textfeld 3"/>
        <xdr:cNvSpPr txBox="1"/>
      </xdr:nvSpPr>
      <xdr:spPr>
        <a:xfrm>
          <a:off x="5286375" y="295275"/>
          <a:ext cx="27241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latin typeface="Arial" panose="020B0604020202020204" pitchFamily="34" charset="0"/>
              <a:cs typeface="Arial" panose="020B0604020202020204" pitchFamily="34" charset="0"/>
            </a:rPr>
            <a:t>zurück zu &lt;Weitere Zuflüsse&gt;</a:t>
          </a:r>
        </a:p>
        <a:p>
          <a:endParaRPr lang="de-DE" sz="1100" b="1">
            <a:latin typeface="Arial" panose="020B0604020202020204" pitchFamily="34" charset="0"/>
            <a:cs typeface="Arial" panose="020B0604020202020204" pitchFamily="34" charset="0"/>
          </a:endParaRPr>
        </a:p>
      </xdr:txBody>
    </xdr:sp>
    <xdr:clientData fPrintsWithSheet="0"/>
  </xdr:twoCellAnchor>
  <mc:AlternateContent xmlns:mc="http://schemas.openxmlformats.org/markup-compatibility/2006">
    <mc:Choice xmlns:a14="http://schemas.microsoft.com/office/drawing/2010/main" Requires="a14">
      <xdr:twoCellAnchor editAs="absolute">
        <xdr:from>
          <xdr:col>3</xdr:col>
          <xdr:colOff>0</xdr:colOff>
          <xdr:row>47</xdr:row>
          <xdr:rowOff>161925</xdr:rowOff>
        </xdr:from>
        <xdr:to>
          <xdr:col>4</xdr:col>
          <xdr:colOff>0</xdr:colOff>
          <xdr:row>48</xdr:row>
          <xdr:rowOff>209550</xdr:rowOff>
        </xdr:to>
        <xdr:sp macro="" textlink="">
          <xdr:nvSpPr>
            <xdr:cNvPr id="7220" name="Scroll Bar 52" hidden="1">
              <a:extLst>
                <a:ext uri="{63B3BB69-23CF-44E3-9099-C40C66FF867C}">
                  <a14:compatExt spid="_x0000_s7220"/>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47625</xdr:colOff>
      <xdr:row>3</xdr:row>
      <xdr:rowOff>47625</xdr:rowOff>
    </xdr:from>
    <xdr:to>
      <xdr:col>7</xdr:col>
      <xdr:colOff>304800</xdr:colOff>
      <xdr:row>3</xdr:row>
      <xdr:rowOff>180975</xdr:rowOff>
    </xdr:to>
    <xdr:sp macro="" textlink="">
      <xdr:nvSpPr>
        <xdr:cNvPr id="2" name="Pfeil nach rechts 1">
          <a:hlinkClick xmlns:r="http://schemas.openxmlformats.org/officeDocument/2006/relationships" r:id="rId1"/>
        </xdr:cNvPr>
        <xdr:cNvSpPr/>
      </xdr:nvSpPr>
      <xdr:spPr>
        <a:xfrm>
          <a:off x="5105400" y="47625"/>
          <a:ext cx="257175" cy="133350"/>
        </a:xfrm>
        <a:prstGeom prst="right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fPrintsWithSheet="0"/>
  </xdr:twoCellAnchor>
  <xdr:twoCellAnchor>
    <xdr:from>
      <xdr:col>7</xdr:col>
      <xdr:colOff>419100</xdr:colOff>
      <xdr:row>3</xdr:row>
      <xdr:rowOff>0</xdr:rowOff>
    </xdr:from>
    <xdr:to>
      <xdr:col>9</xdr:col>
      <xdr:colOff>876299</xdr:colOff>
      <xdr:row>3</xdr:row>
      <xdr:rowOff>247650</xdr:rowOff>
    </xdr:to>
    <xdr:sp macro="" textlink="">
      <xdr:nvSpPr>
        <xdr:cNvPr id="3" name="Textfeld 2"/>
        <xdr:cNvSpPr txBox="1"/>
      </xdr:nvSpPr>
      <xdr:spPr>
        <a:xfrm>
          <a:off x="5476875" y="0"/>
          <a:ext cx="2305049"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latin typeface="Arial" panose="020B0604020202020204" pitchFamily="34" charset="0"/>
              <a:cs typeface="Arial" panose="020B0604020202020204" pitchFamily="34" charset="0"/>
            </a:rPr>
            <a:t>zurück zu &lt;Weitere Zuflüsse&gt;</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2</xdr:row>
      <xdr:rowOff>28574</xdr:rowOff>
    </xdr:from>
    <xdr:to>
      <xdr:col>3</xdr:col>
      <xdr:colOff>1916762</xdr:colOff>
      <xdr:row>3</xdr:row>
      <xdr:rowOff>152399</xdr:rowOff>
    </xdr:to>
    <xdr:pic>
      <xdr:nvPicPr>
        <xdr:cNvPr id="54" name="Grafik 53"/>
        <xdr:cNvPicPr>
          <a:picLocks noChangeAspect="1"/>
        </xdr:cNvPicPr>
      </xdr:nvPicPr>
      <xdr:blipFill>
        <a:blip xmlns:r="http://schemas.openxmlformats.org/officeDocument/2006/relationships" r:embed="rId1"/>
        <a:stretch>
          <a:fillRect/>
        </a:stretch>
      </xdr:blipFill>
      <xdr:spPr>
        <a:xfrm>
          <a:off x="161925" y="28574"/>
          <a:ext cx="2278712" cy="466725"/>
        </a:xfrm>
        <a:prstGeom prst="rect">
          <a:avLst/>
        </a:prstGeom>
      </xdr:spPr>
    </xdr:pic>
    <xdr:clientData/>
  </xdr:twoCellAnchor>
  <xdr:twoCellAnchor>
    <xdr:from>
      <xdr:col>7</xdr:col>
      <xdr:colOff>0</xdr:colOff>
      <xdr:row>7</xdr:row>
      <xdr:rowOff>0</xdr:rowOff>
    </xdr:from>
    <xdr:to>
      <xdr:col>8</xdr:col>
      <xdr:colOff>799234</xdr:colOff>
      <xdr:row>8</xdr:row>
      <xdr:rowOff>1</xdr:rowOff>
    </xdr:to>
    <xdr:sp macro="" textlink="">
      <xdr:nvSpPr>
        <xdr:cNvPr id="6" name="Abgerundetes Rechteck 5">
          <a:hlinkClick xmlns:r="http://schemas.openxmlformats.org/officeDocument/2006/relationships" r:id="rId2"/>
        </xdr:cNvPr>
        <xdr:cNvSpPr>
          <a:spLocks noChangeAspect="1"/>
        </xdr:cNvSpPr>
      </xdr:nvSpPr>
      <xdr:spPr>
        <a:xfrm>
          <a:off x="5591175" y="1771650"/>
          <a:ext cx="1837459" cy="26670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00" b="1">
              <a:latin typeface="Arial" panose="020B0604020202020204" pitchFamily="34" charset="0"/>
              <a:cs typeface="Arial" panose="020B0604020202020204" pitchFamily="34" charset="0"/>
            </a:rPr>
            <a:t>Info zu Klimadaten</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95249</xdr:colOff>
      <xdr:row>15</xdr:row>
      <xdr:rowOff>136812</xdr:rowOff>
    </xdr:from>
    <xdr:to>
      <xdr:col>3</xdr:col>
      <xdr:colOff>961159</xdr:colOff>
      <xdr:row>16</xdr:row>
      <xdr:rowOff>136814</xdr:rowOff>
    </xdr:to>
    <xdr:sp macro="" textlink="">
      <xdr:nvSpPr>
        <xdr:cNvPr id="2" name="Abgerundetes Rechteck 1">
          <a:hlinkClick xmlns:r="http://schemas.openxmlformats.org/officeDocument/2006/relationships" r:id="rId1"/>
        </xdr:cNvPr>
        <xdr:cNvSpPr>
          <a:spLocks noChangeAspect="1"/>
        </xdr:cNvSpPr>
      </xdr:nvSpPr>
      <xdr:spPr>
        <a:xfrm>
          <a:off x="1933574" y="3784887"/>
          <a:ext cx="1827935" cy="266702"/>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00" b="1">
              <a:latin typeface="Arial" panose="020B0604020202020204" pitchFamily="34" charset="0"/>
              <a:cs typeface="Arial" panose="020B0604020202020204" pitchFamily="34" charset="0"/>
            </a:rPr>
            <a:t>Eingabe Festmistlager</a:t>
          </a:r>
        </a:p>
      </xdr:txBody>
    </xdr:sp>
    <xdr:clientData fPrintsWithSheet="0"/>
  </xdr:twoCellAnchor>
  <xdr:twoCellAnchor>
    <xdr:from>
      <xdr:col>2</xdr:col>
      <xdr:colOff>86591</xdr:colOff>
      <xdr:row>25</xdr:row>
      <xdr:rowOff>259777</xdr:rowOff>
    </xdr:from>
    <xdr:to>
      <xdr:col>4</xdr:col>
      <xdr:colOff>0</xdr:colOff>
      <xdr:row>26</xdr:row>
      <xdr:rowOff>259778</xdr:rowOff>
    </xdr:to>
    <xdr:sp macro="" textlink="">
      <xdr:nvSpPr>
        <xdr:cNvPr id="5" name="Abgerundetes Rechteck 4">
          <a:hlinkClick xmlns:r="http://schemas.openxmlformats.org/officeDocument/2006/relationships" r:id="rId2"/>
        </xdr:cNvPr>
        <xdr:cNvSpPr>
          <a:spLocks noChangeAspect="1"/>
        </xdr:cNvSpPr>
      </xdr:nvSpPr>
      <xdr:spPr>
        <a:xfrm>
          <a:off x="1835727" y="6546277"/>
          <a:ext cx="1835728" cy="268433"/>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00" b="1">
              <a:latin typeface="Arial" panose="020B0604020202020204" pitchFamily="34" charset="0"/>
              <a:cs typeface="Arial" panose="020B0604020202020204" pitchFamily="34" charset="0"/>
            </a:rPr>
            <a:t>Eingabe Kapazitäten flüssig</a:t>
          </a:r>
        </a:p>
      </xdr:txBody>
    </xdr:sp>
    <xdr:clientData fPrintsWithSheet="0"/>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0</xdr:colOff>
          <xdr:row>6</xdr:row>
          <xdr:rowOff>219075</xdr:rowOff>
        </xdr:from>
        <xdr:to>
          <xdr:col>8</xdr:col>
          <xdr:colOff>0</xdr:colOff>
          <xdr:row>7</xdr:row>
          <xdr:rowOff>219075</xdr:rowOff>
        </xdr:to>
        <xdr:sp macro="" textlink="">
          <xdr:nvSpPr>
            <xdr:cNvPr id="32769" name="Scroll Bar 1" hidden="1">
              <a:extLst>
                <a:ext uri="{63B3BB69-23CF-44E3-9099-C40C66FF867C}">
                  <a14:compatExt spid="_x0000_s32769"/>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xdr:from>
      <xdr:col>5</xdr:col>
      <xdr:colOff>9524</xdr:colOff>
      <xdr:row>27</xdr:row>
      <xdr:rowOff>57151</xdr:rowOff>
    </xdr:from>
    <xdr:to>
      <xdr:col>5</xdr:col>
      <xdr:colOff>266699</xdr:colOff>
      <xdr:row>27</xdr:row>
      <xdr:rowOff>171451</xdr:rowOff>
    </xdr:to>
    <xdr:sp macro="" textlink="">
      <xdr:nvSpPr>
        <xdr:cNvPr id="2" name="Pfeil nach rechts 1"/>
        <xdr:cNvSpPr/>
      </xdr:nvSpPr>
      <xdr:spPr>
        <a:xfrm>
          <a:off x="4438649" y="5219701"/>
          <a:ext cx="257175" cy="1143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47625</xdr:colOff>
      <xdr:row>0</xdr:row>
      <xdr:rowOff>66675</xdr:rowOff>
    </xdr:from>
    <xdr:to>
      <xdr:col>6</xdr:col>
      <xdr:colOff>389659</xdr:colOff>
      <xdr:row>1</xdr:row>
      <xdr:rowOff>76201</xdr:rowOff>
    </xdr:to>
    <xdr:sp macro="" textlink="">
      <xdr:nvSpPr>
        <xdr:cNvPr id="4" name="Abgerundetes Rechteck 3">
          <a:hlinkClick xmlns:r="http://schemas.openxmlformats.org/officeDocument/2006/relationships" r:id="rId1"/>
        </xdr:cNvPr>
        <xdr:cNvSpPr>
          <a:spLocks noChangeAspect="1"/>
        </xdr:cNvSpPr>
      </xdr:nvSpPr>
      <xdr:spPr>
        <a:xfrm>
          <a:off x="6257925" y="66675"/>
          <a:ext cx="1837459" cy="26670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00" b="1">
              <a:latin typeface="Arial" panose="020B0604020202020204" pitchFamily="34" charset="0"/>
              <a:cs typeface="Arial" panose="020B0604020202020204" pitchFamily="34" charset="0"/>
            </a:rPr>
            <a:t>zurück zu &lt;Sickersaft&gt;</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13</xdr:col>
      <xdr:colOff>390525</xdr:colOff>
      <xdr:row>7</xdr:row>
      <xdr:rowOff>361950</xdr:rowOff>
    </xdr:from>
    <xdr:to>
      <xdr:col>14</xdr:col>
      <xdr:colOff>485775</xdr:colOff>
      <xdr:row>9</xdr:row>
      <xdr:rowOff>466725</xdr:rowOff>
    </xdr:to>
    <xdr:sp macro="" textlink="">
      <xdr:nvSpPr>
        <xdr:cNvPr id="3" name="Ellipse 2"/>
        <xdr:cNvSpPr/>
      </xdr:nvSpPr>
      <xdr:spPr>
        <a:xfrm>
          <a:off x="5381625" y="2324100"/>
          <a:ext cx="933450" cy="942975"/>
        </a:xfrm>
        <a:prstGeom prst="ellipse">
          <a:avLst/>
        </a:prstGeom>
        <a:solidFill>
          <a:schemeClr val="bg2">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b="1">
              <a:latin typeface="Arial Narrow" panose="020B0606020202030204" pitchFamily="34" charset="0"/>
              <a:cs typeface="Arial" panose="020B0604020202020204" pitchFamily="34" charset="0"/>
            </a:rPr>
            <a:t>Sicker-saft-behälter</a:t>
          </a:r>
          <a:endParaRPr lang="de-DE" sz="1000" b="1">
            <a:latin typeface="Arial Narrow" panose="020B0606020202030204" pitchFamily="34" charset="0"/>
            <a:cs typeface="Arial" panose="020B0604020202020204" pitchFamily="34" charset="0"/>
          </a:endParaRPr>
        </a:p>
      </xdr:txBody>
    </xdr:sp>
    <xdr:clientData/>
  </xdr:twoCellAnchor>
  <xdr:twoCellAnchor>
    <xdr:from>
      <xdr:col>1</xdr:col>
      <xdr:colOff>19050</xdr:colOff>
      <xdr:row>9</xdr:row>
      <xdr:rowOff>66675</xdr:rowOff>
    </xdr:from>
    <xdr:to>
      <xdr:col>1</xdr:col>
      <xdr:colOff>1114425</xdr:colOff>
      <xdr:row>10</xdr:row>
      <xdr:rowOff>0</xdr:rowOff>
    </xdr:to>
    <xdr:sp macro="" textlink="">
      <xdr:nvSpPr>
        <xdr:cNvPr id="6" name="Textfeld 5"/>
        <xdr:cNvSpPr txBox="1"/>
      </xdr:nvSpPr>
      <xdr:spPr>
        <a:xfrm>
          <a:off x="219075" y="3657600"/>
          <a:ext cx="1095375" cy="485775"/>
        </a:xfrm>
        <a:prstGeom prst="rect">
          <a:avLst/>
        </a:prstGeom>
        <a:solidFill>
          <a:srgbClr val="CCE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900" b="1">
              <a:latin typeface="Arial" panose="020B0604020202020204" pitchFamily="34" charset="0"/>
              <a:cs typeface="Arial" panose="020B0604020202020204" pitchFamily="34" charset="0"/>
            </a:rPr>
            <a:t>Ableitung Niederschlags-wasser</a:t>
          </a:r>
        </a:p>
      </xdr:txBody>
    </xdr:sp>
    <xdr:clientData/>
  </xdr:twoCellAnchor>
  <xdr:twoCellAnchor>
    <xdr:from>
      <xdr:col>13</xdr:col>
      <xdr:colOff>390525</xdr:colOff>
      <xdr:row>38</xdr:row>
      <xdr:rowOff>561975</xdr:rowOff>
    </xdr:from>
    <xdr:to>
      <xdr:col>14</xdr:col>
      <xdr:colOff>485775</xdr:colOff>
      <xdr:row>41</xdr:row>
      <xdr:rowOff>381225</xdr:rowOff>
    </xdr:to>
    <xdr:sp macro="" textlink="">
      <xdr:nvSpPr>
        <xdr:cNvPr id="16" name="Ellipse 15"/>
        <xdr:cNvSpPr/>
      </xdr:nvSpPr>
      <xdr:spPr>
        <a:xfrm>
          <a:off x="7077075" y="7677150"/>
          <a:ext cx="933450" cy="943200"/>
        </a:xfrm>
        <a:prstGeom prst="ellipse">
          <a:avLst/>
        </a:prstGeom>
        <a:solidFill>
          <a:schemeClr val="bg2">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b="1">
              <a:latin typeface="Arial Narrow" panose="020B0606020202030204" pitchFamily="34" charset="0"/>
              <a:cs typeface="Arial" panose="020B0604020202020204" pitchFamily="34" charset="0"/>
            </a:rPr>
            <a:t>Sicker-saft-behälter</a:t>
          </a:r>
          <a:endParaRPr lang="de-DE" sz="1000" b="1">
            <a:latin typeface="Arial Narrow" panose="020B0606020202030204" pitchFamily="34" charset="0"/>
            <a:cs typeface="Arial" panose="020B0604020202020204" pitchFamily="34" charset="0"/>
          </a:endParaRPr>
        </a:p>
      </xdr:txBody>
    </xdr:sp>
    <xdr:clientData/>
  </xdr:twoCellAnchor>
  <xdr:twoCellAnchor>
    <xdr:from>
      <xdr:col>12</xdr:col>
      <xdr:colOff>57150</xdr:colOff>
      <xdr:row>0</xdr:row>
      <xdr:rowOff>47625</xdr:rowOff>
    </xdr:from>
    <xdr:to>
      <xdr:col>12</xdr:col>
      <xdr:colOff>314325</xdr:colOff>
      <xdr:row>0</xdr:row>
      <xdr:rowOff>180975</xdr:rowOff>
    </xdr:to>
    <xdr:sp macro="" textlink="">
      <xdr:nvSpPr>
        <xdr:cNvPr id="19" name="Pfeil nach rechts 18">
          <a:hlinkClick xmlns:r="http://schemas.openxmlformats.org/officeDocument/2006/relationships" r:id="rId1"/>
        </xdr:cNvPr>
        <xdr:cNvSpPr/>
      </xdr:nvSpPr>
      <xdr:spPr>
        <a:xfrm>
          <a:off x="4953000" y="342900"/>
          <a:ext cx="257175" cy="133350"/>
        </a:xfrm>
        <a:prstGeom prst="right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fPrintsWithSheet="0"/>
  </xdr:twoCellAnchor>
  <xdr:twoCellAnchor>
    <xdr:from>
      <xdr:col>12</xdr:col>
      <xdr:colOff>390525</xdr:colOff>
      <xdr:row>0</xdr:row>
      <xdr:rowOff>0</xdr:rowOff>
    </xdr:from>
    <xdr:to>
      <xdr:col>15</xdr:col>
      <xdr:colOff>0</xdr:colOff>
      <xdr:row>0</xdr:row>
      <xdr:rowOff>247650</xdr:rowOff>
    </xdr:to>
    <xdr:sp macro="" textlink="">
      <xdr:nvSpPr>
        <xdr:cNvPr id="20" name="Textfeld 19"/>
        <xdr:cNvSpPr txBox="1"/>
      </xdr:nvSpPr>
      <xdr:spPr>
        <a:xfrm>
          <a:off x="5286375" y="295275"/>
          <a:ext cx="27241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latin typeface="Arial" panose="020B0604020202020204" pitchFamily="34" charset="0"/>
              <a:cs typeface="Arial" panose="020B0604020202020204" pitchFamily="34" charset="0"/>
            </a:rPr>
            <a:t>zurück zu &lt;Sickersaft&gt;</a:t>
          </a:r>
        </a:p>
      </xdr:txBody>
    </xdr:sp>
    <xdr:clientData fPrintsWithSheet="0"/>
  </xdr:twoCellAnchor>
  <xdr:twoCellAnchor>
    <xdr:from>
      <xdr:col>13</xdr:col>
      <xdr:colOff>390525</xdr:colOff>
      <xdr:row>22</xdr:row>
      <xdr:rowOff>304800</xdr:rowOff>
    </xdr:from>
    <xdr:to>
      <xdr:col>14</xdr:col>
      <xdr:colOff>485775</xdr:colOff>
      <xdr:row>24</xdr:row>
      <xdr:rowOff>314550</xdr:rowOff>
    </xdr:to>
    <xdr:sp macro="" textlink="">
      <xdr:nvSpPr>
        <xdr:cNvPr id="26" name="Ellipse 25"/>
        <xdr:cNvSpPr/>
      </xdr:nvSpPr>
      <xdr:spPr>
        <a:xfrm>
          <a:off x="7077075" y="7896225"/>
          <a:ext cx="933450" cy="943200"/>
        </a:xfrm>
        <a:prstGeom prst="ellipse">
          <a:avLst/>
        </a:prstGeom>
        <a:solidFill>
          <a:schemeClr val="bg2">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b="1">
              <a:latin typeface="Arial Narrow" panose="020B0606020202030204" pitchFamily="34" charset="0"/>
              <a:cs typeface="Arial" panose="020B0604020202020204" pitchFamily="34" charset="0"/>
            </a:rPr>
            <a:t>Sicker-saft-behälter</a:t>
          </a:r>
          <a:endParaRPr lang="de-DE" sz="1000" b="1">
            <a:latin typeface="Arial Narrow" panose="020B0606020202030204" pitchFamily="34" charset="0"/>
            <a:cs typeface="Arial" panose="020B0604020202020204" pitchFamily="34" charset="0"/>
          </a:endParaRPr>
        </a:p>
      </xdr:txBody>
    </xdr:sp>
    <xdr:clientData/>
  </xdr:twoCellAnchor>
  <xdr:twoCellAnchor>
    <xdr:from>
      <xdr:col>13</xdr:col>
      <xdr:colOff>390525</xdr:colOff>
      <xdr:row>55</xdr:row>
      <xdr:rowOff>561975</xdr:rowOff>
    </xdr:from>
    <xdr:to>
      <xdr:col>14</xdr:col>
      <xdr:colOff>485775</xdr:colOff>
      <xdr:row>58</xdr:row>
      <xdr:rowOff>343125</xdr:rowOff>
    </xdr:to>
    <xdr:sp macro="" textlink="">
      <xdr:nvSpPr>
        <xdr:cNvPr id="34" name="Ellipse 33"/>
        <xdr:cNvSpPr/>
      </xdr:nvSpPr>
      <xdr:spPr>
        <a:xfrm>
          <a:off x="7077075" y="18669000"/>
          <a:ext cx="933450" cy="943200"/>
        </a:xfrm>
        <a:prstGeom prst="ellipse">
          <a:avLst/>
        </a:prstGeom>
        <a:solidFill>
          <a:schemeClr val="bg2">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b="1">
              <a:latin typeface="Arial Narrow" panose="020B0606020202030204" pitchFamily="34" charset="0"/>
              <a:cs typeface="Arial" panose="020B0604020202020204" pitchFamily="34" charset="0"/>
            </a:rPr>
            <a:t>Sicker-saft-behälter</a:t>
          </a:r>
          <a:endParaRPr lang="de-DE" sz="1000" b="1">
            <a:latin typeface="Arial Narrow" panose="020B0606020202030204" pitchFamily="34" charset="0"/>
            <a:cs typeface="Arial" panose="020B0604020202020204" pitchFamily="34" charset="0"/>
          </a:endParaRPr>
        </a:p>
      </xdr:txBody>
    </xdr:sp>
    <xdr:clientData/>
  </xdr:twoCellAnchor>
  <xdr:twoCellAnchor>
    <xdr:from>
      <xdr:col>1</xdr:col>
      <xdr:colOff>0</xdr:colOff>
      <xdr:row>24</xdr:row>
      <xdr:rowOff>0</xdr:rowOff>
    </xdr:from>
    <xdr:to>
      <xdr:col>1</xdr:col>
      <xdr:colOff>1095375</xdr:colOff>
      <xdr:row>24</xdr:row>
      <xdr:rowOff>485775</xdr:rowOff>
    </xdr:to>
    <xdr:sp macro="" textlink="">
      <xdr:nvSpPr>
        <xdr:cNvPr id="21" name="Textfeld 20"/>
        <xdr:cNvSpPr txBox="1"/>
      </xdr:nvSpPr>
      <xdr:spPr>
        <a:xfrm>
          <a:off x="200025" y="8572500"/>
          <a:ext cx="1095375" cy="485775"/>
        </a:xfrm>
        <a:prstGeom prst="rect">
          <a:avLst/>
        </a:prstGeom>
        <a:solidFill>
          <a:srgbClr val="CCE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900" b="1">
              <a:latin typeface="Arial" panose="020B0604020202020204" pitchFamily="34" charset="0"/>
              <a:cs typeface="Arial" panose="020B0604020202020204" pitchFamily="34" charset="0"/>
            </a:rPr>
            <a:t>Ableitung Niederschlags-wasser</a:t>
          </a:r>
        </a:p>
      </xdr:txBody>
    </xdr:sp>
    <xdr:clientData/>
  </xdr:twoCellAnchor>
  <xdr:twoCellAnchor>
    <xdr:from>
      <xdr:col>1</xdr:col>
      <xdr:colOff>0</xdr:colOff>
      <xdr:row>41</xdr:row>
      <xdr:rowOff>0</xdr:rowOff>
    </xdr:from>
    <xdr:to>
      <xdr:col>1</xdr:col>
      <xdr:colOff>1095375</xdr:colOff>
      <xdr:row>41</xdr:row>
      <xdr:rowOff>485775</xdr:rowOff>
    </xdr:to>
    <xdr:sp macro="" textlink="">
      <xdr:nvSpPr>
        <xdr:cNvPr id="22" name="Textfeld 21"/>
        <xdr:cNvSpPr txBox="1"/>
      </xdr:nvSpPr>
      <xdr:spPr>
        <a:xfrm>
          <a:off x="200025" y="13925550"/>
          <a:ext cx="1095375" cy="485775"/>
        </a:xfrm>
        <a:prstGeom prst="rect">
          <a:avLst/>
        </a:prstGeom>
        <a:solidFill>
          <a:srgbClr val="CCE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900" b="1">
              <a:latin typeface="Arial" panose="020B0604020202020204" pitchFamily="34" charset="0"/>
              <a:cs typeface="Arial" panose="020B0604020202020204" pitchFamily="34" charset="0"/>
            </a:rPr>
            <a:t>Ableitung Niederschlags-wasser</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ctrlProp" Target="../ctrlProps/ctrlProp1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7"/>
  <sheetViews>
    <sheetView tabSelected="1" zoomScaleNormal="100" zoomScaleSheetLayoutView="100" workbookViewId="0">
      <selection activeCell="N5" sqref="N5"/>
    </sheetView>
  </sheetViews>
  <sheetFormatPr baseColWidth="10" defaultColWidth="11" defaultRowHeight="14.25" x14ac:dyDescent="0.2"/>
  <cols>
    <col min="1" max="1" width="1.625" style="2" customWidth="1"/>
    <col min="2" max="2" width="4.5" style="2" customWidth="1"/>
    <col min="3" max="4" width="2.875" style="2" customWidth="1"/>
    <col min="5" max="5" width="18.125" style="2" customWidth="1"/>
    <col min="6" max="8" width="17.625" style="2" customWidth="1"/>
    <col min="9" max="10" width="16.625" style="2" customWidth="1"/>
    <col min="11" max="16384" width="11" style="2"/>
  </cols>
  <sheetData>
    <row r="1" spans="1:11" ht="27" customHeight="1" x14ac:dyDescent="0.2">
      <c r="A1" s="335"/>
      <c r="B1" s="629" t="s">
        <v>1397</v>
      </c>
      <c r="C1" s="629"/>
      <c r="D1" s="629"/>
      <c r="E1" s="629"/>
      <c r="F1" s="629"/>
      <c r="G1" s="629"/>
      <c r="H1" s="629"/>
      <c r="I1" s="629"/>
      <c r="J1" s="629"/>
    </row>
    <row r="2" spans="1:11" ht="14.25" customHeight="1" x14ac:dyDescent="0.2">
      <c r="B2" s="3"/>
      <c r="C2" s="3"/>
      <c r="D2" s="3"/>
      <c r="E2" s="3"/>
      <c r="F2" s="28"/>
    </row>
    <row r="3" spans="1:11" ht="27" customHeight="1" x14ac:dyDescent="0.2">
      <c r="B3" s="630" t="s">
        <v>1398</v>
      </c>
      <c r="C3" s="630"/>
      <c r="D3" s="630"/>
      <c r="E3" s="630"/>
      <c r="F3" s="630"/>
      <c r="G3" s="630"/>
      <c r="H3" s="630"/>
      <c r="I3" s="630"/>
      <c r="J3" s="630"/>
    </row>
    <row r="4" spans="1:11" ht="14.25" customHeight="1" x14ac:dyDescent="0.2">
      <c r="B4" s="3"/>
      <c r="C4" s="3"/>
      <c r="D4" s="3"/>
      <c r="E4" s="3"/>
      <c r="F4" s="28"/>
    </row>
    <row r="5" spans="1:11" ht="27" customHeight="1" x14ac:dyDescent="0.2">
      <c r="B5" s="631" t="s">
        <v>1432</v>
      </c>
      <c r="C5" s="631"/>
      <c r="D5" s="631"/>
      <c r="E5" s="631"/>
      <c r="F5" s="631"/>
      <c r="G5" s="631"/>
      <c r="H5" s="631"/>
      <c r="I5" s="631"/>
      <c r="J5" s="631"/>
    </row>
    <row r="6" spans="1:11" ht="20.25" x14ac:dyDescent="0.2">
      <c r="E6" s="28"/>
      <c r="F6" s="28"/>
    </row>
    <row r="7" spans="1:11" ht="20.25" x14ac:dyDescent="0.2">
      <c r="B7" s="3" t="s">
        <v>196</v>
      </c>
      <c r="C7" s="3" t="s">
        <v>197</v>
      </c>
      <c r="D7" s="3"/>
      <c r="F7" s="28"/>
    </row>
    <row r="8" spans="1:11" ht="14.25" customHeight="1" x14ac:dyDescent="0.2">
      <c r="B8" s="3"/>
      <c r="C8" s="3"/>
      <c r="D8" s="3"/>
      <c r="E8" s="3"/>
      <c r="F8" s="28"/>
    </row>
    <row r="9" spans="1:11" ht="15.75" x14ac:dyDescent="0.2">
      <c r="C9" s="609" t="s">
        <v>199</v>
      </c>
      <c r="D9" s="609" t="s">
        <v>92</v>
      </c>
    </row>
    <row r="11" spans="1:11" x14ac:dyDescent="0.2">
      <c r="E11" s="623" t="s">
        <v>1425</v>
      </c>
      <c r="F11" s="567"/>
    </row>
    <row r="12" spans="1:11" x14ac:dyDescent="0.2">
      <c r="E12" s="567" t="s">
        <v>1426</v>
      </c>
      <c r="F12" s="567"/>
    </row>
    <row r="13" spans="1:11" x14ac:dyDescent="0.2">
      <c r="E13" s="567" t="s">
        <v>1427</v>
      </c>
      <c r="F13" s="567"/>
      <c r="K13" s="45"/>
    </row>
    <row r="14" spans="1:11" x14ac:dyDescent="0.2">
      <c r="E14" s="567"/>
      <c r="F14" s="567"/>
      <c r="K14" s="45"/>
    </row>
    <row r="15" spans="1:11" ht="15" x14ac:dyDescent="0.2">
      <c r="E15" s="624" t="s">
        <v>1429</v>
      </c>
      <c r="F15" s="567"/>
      <c r="K15" s="45"/>
    </row>
    <row r="16" spans="1:11" ht="15" x14ac:dyDescent="0.2">
      <c r="E16" s="616" t="s">
        <v>1428</v>
      </c>
      <c r="F16" s="45"/>
    </row>
    <row r="17" spans="1:6" x14ac:dyDescent="0.2">
      <c r="E17" s="45"/>
      <c r="F17" s="45"/>
    </row>
    <row r="18" spans="1:6" ht="15.75" x14ac:dyDescent="0.2">
      <c r="C18" s="609" t="s">
        <v>198</v>
      </c>
      <c r="D18" s="609" t="s">
        <v>93</v>
      </c>
    </row>
    <row r="20" spans="1:6" x14ac:dyDescent="0.2">
      <c r="D20" s="610"/>
      <c r="E20" s="611" t="s">
        <v>1433</v>
      </c>
      <c r="F20" s="611"/>
    </row>
    <row r="21" spans="1:6" ht="9" customHeight="1" x14ac:dyDescent="0.2"/>
    <row r="22" spans="1:6" x14ac:dyDescent="0.2">
      <c r="D22" s="612"/>
      <c r="E22" s="611" t="s">
        <v>1434</v>
      </c>
      <c r="F22" s="611"/>
    </row>
    <row r="23" spans="1:6" ht="9" customHeight="1" x14ac:dyDescent="0.2"/>
    <row r="24" spans="1:6" x14ac:dyDescent="0.2">
      <c r="D24" s="7"/>
      <c r="E24" s="611" t="s">
        <v>1435</v>
      </c>
      <c r="F24" s="611"/>
    </row>
    <row r="25" spans="1:6" ht="9" customHeight="1" x14ac:dyDescent="0.2">
      <c r="D25" s="9"/>
    </row>
    <row r="26" spans="1:6" x14ac:dyDescent="0.2">
      <c r="D26" s="613"/>
      <c r="E26" s="611" t="s">
        <v>1436</v>
      </c>
      <c r="F26" s="611"/>
    </row>
    <row r="27" spans="1:6" x14ac:dyDescent="0.2">
      <c r="B27" s="9"/>
    </row>
    <row r="28" spans="1:6" x14ac:dyDescent="0.2">
      <c r="B28" s="9"/>
      <c r="C28" s="9"/>
      <c r="D28" s="9"/>
      <c r="E28" s="2" t="s">
        <v>1437</v>
      </c>
    </row>
    <row r="29" spans="1:6" x14ac:dyDescent="0.2">
      <c r="B29" s="9"/>
      <c r="C29" s="9"/>
      <c r="D29" s="9"/>
    </row>
    <row r="30" spans="1:6" ht="18" x14ac:dyDescent="0.2">
      <c r="A30" s="335"/>
      <c r="B30" s="3" t="s">
        <v>201</v>
      </c>
      <c r="C30" s="3" t="s">
        <v>202</v>
      </c>
    </row>
    <row r="31" spans="1:6" x14ac:dyDescent="0.2">
      <c r="B31" s="9"/>
      <c r="C31" s="9"/>
      <c r="D31" s="9"/>
    </row>
    <row r="32" spans="1:6" ht="15.75" x14ac:dyDescent="0.2">
      <c r="C32" s="609" t="s">
        <v>199</v>
      </c>
      <c r="D32" s="609" t="s">
        <v>111</v>
      </c>
    </row>
    <row r="33" spans="2:8" x14ac:dyDescent="0.2">
      <c r="B33" s="9"/>
      <c r="C33" s="9"/>
      <c r="D33" s="9"/>
    </row>
    <row r="34" spans="2:8" ht="15" x14ac:dyDescent="0.2">
      <c r="B34" s="9"/>
      <c r="C34" s="9"/>
      <c r="D34" s="9"/>
      <c r="E34" s="614" t="s">
        <v>112</v>
      </c>
      <c r="F34" s="615"/>
    </row>
    <row r="35" spans="2:8" x14ac:dyDescent="0.2">
      <c r="B35" s="9"/>
      <c r="C35" s="9"/>
      <c r="D35" s="9"/>
      <c r="E35" s="2" t="s">
        <v>129</v>
      </c>
    </row>
    <row r="36" spans="2:8" x14ac:dyDescent="0.2">
      <c r="B36" s="9"/>
      <c r="C36" s="9"/>
      <c r="D36" s="9"/>
      <c r="E36" s="2" t="s">
        <v>130</v>
      </c>
    </row>
    <row r="37" spans="2:8" ht="15" thickBot="1" x14ac:dyDescent="0.25">
      <c r="B37" s="9"/>
      <c r="C37" s="9"/>
      <c r="D37" s="9"/>
    </row>
    <row r="38" spans="2:8" ht="15" x14ac:dyDescent="0.2">
      <c r="B38" s="9"/>
      <c r="C38" s="9"/>
      <c r="D38" s="9"/>
      <c r="E38" s="127" t="s">
        <v>122</v>
      </c>
      <c r="F38" s="125" t="s">
        <v>102</v>
      </c>
      <c r="G38" s="133" t="s">
        <v>108</v>
      </c>
      <c r="H38" s="134" t="s">
        <v>107</v>
      </c>
    </row>
    <row r="39" spans="2:8" ht="15" x14ac:dyDescent="0.2">
      <c r="B39" s="9"/>
      <c r="C39" s="9"/>
      <c r="D39" s="9"/>
      <c r="E39" s="131"/>
      <c r="F39" s="135" t="s">
        <v>13</v>
      </c>
      <c r="G39" s="136" t="s">
        <v>13</v>
      </c>
      <c r="H39" s="137" t="s">
        <v>13</v>
      </c>
    </row>
    <row r="40" spans="2:8" x14ac:dyDescent="0.2">
      <c r="B40" s="9"/>
      <c r="C40" s="9"/>
      <c r="D40" s="9"/>
      <c r="E40" s="128" t="s">
        <v>14</v>
      </c>
      <c r="F40" s="138">
        <v>0.1</v>
      </c>
      <c r="G40" s="138">
        <v>0.1</v>
      </c>
      <c r="H40" s="139">
        <f>SUM(F40:G40)</f>
        <v>0.2</v>
      </c>
    </row>
    <row r="41" spans="2:8" x14ac:dyDescent="0.2">
      <c r="B41" s="9"/>
      <c r="C41" s="9"/>
      <c r="D41" s="9"/>
      <c r="E41" s="129" t="s">
        <v>15</v>
      </c>
      <c r="F41" s="140">
        <v>0.2</v>
      </c>
      <c r="G41" s="141">
        <v>0.1</v>
      </c>
      <c r="H41" s="139">
        <f>SUM(F41:G41)</f>
        <v>0.30000000000000004</v>
      </c>
    </row>
    <row r="42" spans="2:8" ht="15" thickBot="1" x14ac:dyDescent="0.25">
      <c r="B42" s="9"/>
      <c r="C42" s="9"/>
      <c r="D42" s="9"/>
      <c r="E42" s="130" t="s">
        <v>36</v>
      </c>
      <c r="F42" s="142">
        <v>0.5</v>
      </c>
      <c r="G42" s="143">
        <v>0.1</v>
      </c>
      <c r="H42" s="144">
        <f>SUM(F42:G42)</f>
        <v>0.6</v>
      </c>
    </row>
    <row r="43" spans="2:8" x14ac:dyDescent="0.2">
      <c r="B43" s="9"/>
      <c r="C43" s="9"/>
      <c r="D43" s="9"/>
      <c r="E43" s="9"/>
      <c r="F43" s="123"/>
      <c r="G43" s="123"/>
      <c r="H43" s="123"/>
    </row>
    <row r="44" spans="2:8" x14ac:dyDescent="0.2">
      <c r="B44" s="9"/>
      <c r="C44" s="9"/>
      <c r="D44" s="9"/>
      <c r="E44" s="2" t="s">
        <v>131</v>
      </c>
    </row>
    <row r="45" spans="2:8" x14ac:dyDescent="0.2">
      <c r="B45" s="9"/>
      <c r="C45" s="9"/>
      <c r="D45" s="9"/>
      <c r="E45" s="2" t="s">
        <v>132</v>
      </c>
    </row>
    <row r="46" spans="2:8" x14ac:dyDescent="0.2">
      <c r="B46" s="9"/>
      <c r="C46" s="9"/>
      <c r="D46" s="9"/>
    </row>
    <row r="47" spans="2:8" x14ac:dyDescent="0.2">
      <c r="B47" s="9"/>
      <c r="C47" s="9"/>
      <c r="D47" s="9"/>
      <c r="E47" s="145" t="s">
        <v>1422</v>
      </c>
    </row>
    <row r="48" spans="2:8" x14ac:dyDescent="0.2">
      <c r="B48" s="9"/>
      <c r="C48" s="9"/>
      <c r="D48" s="9"/>
      <c r="E48" s="145" t="s">
        <v>1423</v>
      </c>
    </row>
    <row r="49" spans="1:8" x14ac:dyDescent="0.2">
      <c r="B49" s="9"/>
      <c r="C49" s="9"/>
      <c r="D49" s="9"/>
      <c r="E49" s="145" t="s">
        <v>1424</v>
      </c>
    </row>
    <row r="50" spans="1:8" ht="15" x14ac:dyDescent="0.2">
      <c r="B50" s="9"/>
      <c r="C50" s="9"/>
      <c r="D50" s="9"/>
      <c r="H50" s="611" t="s">
        <v>113</v>
      </c>
    </row>
    <row r="51" spans="1:8" x14ac:dyDescent="0.2">
      <c r="B51" s="9"/>
      <c r="C51" s="9"/>
      <c r="D51" s="9"/>
      <c r="H51" s="611"/>
    </row>
    <row r="52" spans="1:8" x14ac:dyDescent="0.2">
      <c r="B52" s="9"/>
      <c r="C52" s="9"/>
      <c r="D52" s="9"/>
      <c r="E52" s="625" t="s">
        <v>1443</v>
      </c>
      <c r="H52" s="611"/>
    </row>
    <row r="53" spans="1:8" x14ac:dyDescent="0.2">
      <c r="B53" s="9"/>
      <c r="C53" s="9"/>
      <c r="D53" s="9"/>
    </row>
    <row r="54" spans="1:8" ht="15.75" x14ac:dyDescent="0.2">
      <c r="B54" s="9"/>
      <c r="C54" s="609" t="s">
        <v>198</v>
      </c>
      <c r="D54" s="609" t="s">
        <v>204</v>
      </c>
    </row>
    <row r="55" spans="1:8" ht="15.75" x14ac:dyDescent="0.2">
      <c r="B55" s="9"/>
      <c r="C55" s="609"/>
      <c r="D55" s="609"/>
    </row>
    <row r="56" spans="1:8" x14ac:dyDescent="0.2">
      <c r="B56" s="9"/>
      <c r="C56" s="9"/>
      <c r="D56" s="9"/>
      <c r="E56" s="567" t="s">
        <v>219</v>
      </c>
    </row>
    <row r="57" spans="1:8" ht="15" x14ac:dyDescent="0.2">
      <c r="B57" s="9"/>
      <c r="C57" s="9"/>
      <c r="D57" s="9"/>
      <c r="E57" s="567" t="s">
        <v>1440</v>
      </c>
    </row>
    <row r="58" spans="1:8" x14ac:dyDescent="0.2">
      <c r="B58" s="9"/>
      <c r="C58" s="9"/>
      <c r="D58" s="9"/>
      <c r="E58" s="567"/>
    </row>
    <row r="59" spans="1:8" x14ac:dyDescent="0.2">
      <c r="B59" s="9"/>
      <c r="C59" s="9"/>
      <c r="D59" s="9"/>
      <c r="E59" s="625" t="s">
        <v>1444</v>
      </c>
    </row>
    <row r="60" spans="1:8" x14ac:dyDescent="0.2">
      <c r="B60" s="9"/>
      <c r="C60" s="9"/>
      <c r="D60" s="9"/>
      <c r="E60" s="567"/>
    </row>
    <row r="61" spans="1:8" ht="15.75" x14ac:dyDescent="0.2">
      <c r="A61" s="335"/>
      <c r="C61" s="609" t="s">
        <v>200</v>
      </c>
      <c r="D61" s="609" t="s">
        <v>206</v>
      </c>
    </row>
    <row r="63" spans="1:8" x14ac:dyDescent="0.2">
      <c r="E63" s="2" t="s">
        <v>1418</v>
      </c>
    </row>
    <row r="64" spans="1:8" x14ac:dyDescent="0.2">
      <c r="E64" s="2" t="s">
        <v>1419</v>
      </c>
    </row>
    <row r="65" spans="3:5" x14ac:dyDescent="0.2">
      <c r="E65" s="2" t="s">
        <v>1420</v>
      </c>
    </row>
    <row r="66" spans="3:5" x14ac:dyDescent="0.2">
      <c r="E66" s="2" t="s">
        <v>1430</v>
      </c>
    </row>
    <row r="67" spans="3:5" x14ac:dyDescent="0.2">
      <c r="E67" s="2" t="s">
        <v>1431</v>
      </c>
    </row>
    <row r="68" spans="3:5" x14ac:dyDescent="0.2">
      <c r="E68" s="2" t="s">
        <v>1421</v>
      </c>
    </row>
    <row r="70" spans="3:5" ht="15.75" x14ac:dyDescent="0.2">
      <c r="C70" s="609" t="s">
        <v>205</v>
      </c>
      <c r="D70" s="609" t="s">
        <v>207</v>
      </c>
    </row>
    <row r="72" spans="3:5" ht="15" x14ac:dyDescent="0.2">
      <c r="D72" s="614" t="s">
        <v>89</v>
      </c>
    </row>
    <row r="73" spans="3:5" ht="15" x14ac:dyDescent="0.2">
      <c r="D73" s="615"/>
      <c r="E73" s="616" t="s">
        <v>208</v>
      </c>
    </row>
    <row r="74" spans="3:5" ht="15" x14ac:dyDescent="0.2">
      <c r="D74" s="615"/>
      <c r="E74" s="567" t="s">
        <v>210</v>
      </c>
    </row>
    <row r="75" spans="3:5" ht="15" x14ac:dyDescent="0.2">
      <c r="D75" s="615"/>
      <c r="E75" s="567" t="s">
        <v>211</v>
      </c>
    </row>
    <row r="76" spans="3:5" ht="15" x14ac:dyDescent="0.2">
      <c r="D76" s="615"/>
      <c r="E76" s="567" t="s">
        <v>212</v>
      </c>
    </row>
    <row r="77" spans="3:5" ht="15" x14ac:dyDescent="0.2">
      <c r="D77" s="615"/>
      <c r="E77" s="616" t="s">
        <v>209</v>
      </c>
    </row>
    <row r="78" spans="3:5" ht="15" x14ac:dyDescent="0.2">
      <c r="D78" s="615"/>
      <c r="E78" s="567" t="s">
        <v>1399</v>
      </c>
    </row>
    <row r="79" spans="3:5" ht="15" x14ac:dyDescent="0.2">
      <c r="D79" s="615"/>
      <c r="E79" s="567" t="s">
        <v>213</v>
      </c>
    </row>
    <row r="80" spans="3:5" ht="15" x14ac:dyDescent="0.2">
      <c r="D80" s="615"/>
      <c r="E80" s="567" t="s">
        <v>214</v>
      </c>
    </row>
    <row r="81" spans="2:6" ht="15" x14ac:dyDescent="0.2">
      <c r="D81" s="615"/>
      <c r="E81" s="45"/>
    </row>
    <row r="82" spans="2:6" ht="15" x14ac:dyDescent="0.2">
      <c r="D82" s="615"/>
      <c r="E82" s="567" t="s">
        <v>1412</v>
      </c>
    </row>
    <row r="83" spans="2:6" ht="15" x14ac:dyDescent="0.2">
      <c r="D83" s="615"/>
      <c r="E83" s="567" t="s">
        <v>1441</v>
      </c>
    </row>
    <row r="85" spans="2:6" ht="15" x14ac:dyDescent="0.2">
      <c r="D85" s="614" t="s">
        <v>90</v>
      </c>
    </row>
    <row r="86" spans="2:6" ht="15" x14ac:dyDescent="0.2">
      <c r="E86" s="617" t="s">
        <v>215</v>
      </c>
    </row>
    <row r="87" spans="2:6" x14ac:dyDescent="0.2">
      <c r="E87" s="567" t="s">
        <v>216</v>
      </c>
    </row>
    <row r="88" spans="2:6" x14ac:dyDescent="0.2">
      <c r="E88" s="567" t="s">
        <v>217</v>
      </c>
    </row>
    <row r="89" spans="2:6" x14ac:dyDescent="0.2">
      <c r="E89" s="45"/>
    </row>
    <row r="91" spans="2:6" ht="18" x14ac:dyDescent="0.2">
      <c r="B91" s="3" t="s">
        <v>218</v>
      </c>
      <c r="C91" s="3" t="s">
        <v>203</v>
      </c>
    </row>
    <row r="92" spans="2:6" ht="9" customHeight="1" x14ac:dyDescent="0.2"/>
    <row r="94" spans="2:6" ht="15.75" x14ac:dyDescent="0.2">
      <c r="C94" s="609" t="s">
        <v>199</v>
      </c>
      <c r="D94" s="609" t="s">
        <v>98</v>
      </c>
      <c r="E94" s="618"/>
      <c r="F94" s="619"/>
    </row>
    <row r="95" spans="2:6" x14ac:dyDescent="0.2">
      <c r="D95" s="2" t="s">
        <v>94</v>
      </c>
    </row>
    <row r="96" spans="2:6" x14ac:dyDescent="0.2">
      <c r="E96" s="611"/>
      <c r="F96" s="611"/>
    </row>
    <row r="97" spans="1:6" ht="15.75" x14ac:dyDescent="0.2">
      <c r="C97" s="609" t="s">
        <v>198</v>
      </c>
      <c r="D97" s="609" t="s">
        <v>95</v>
      </c>
      <c r="F97" s="619"/>
    </row>
    <row r="98" spans="1:6" x14ac:dyDescent="0.2">
      <c r="D98" s="2" t="s">
        <v>231</v>
      </c>
      <c r="E98" s="146"/>
      <c r="F98" s="620"/>
    </row>
    <row r="99" spans="1:6" x14ac:dyDescent="0.2">
      <c r="D99" s="2" t="s">
        <v>232</v>
      </c>
      <c r="E99" s="620"/>
      <c r="F99" s="620"/>
    </row>
    <row r="101" spans="1:6" ht="15.75" x14ac:dyDescent="0.2">
      <c r="B101" s="609" t="s">
        <v>91</v>
      </c>
      <c r="D101" s="609"/>
    </row>
    <row r="102" spans="1:6" x14ac:dyDescent="0.2">
      <c r="C102" s="2" t="s">
        <v>1438</v>
      </c>
    </row>
    <row r="103" spans="1:6" x14ac:dyDescent="0.2">
      <c r="C103" s="2" t="s">
        <v>220</v>
      </c>
    </row>
    <row r="105" spans="1:6" x14ac:dyDescent="0.2">
      <c r="A105" s="335"/>
    </row>
    <row r="107" spans="1:6" x14ac:dyDescent="0.2">
      <c r="A107" s="335"/>
    </row>
  </sheetData>
  <mergeCells count="3">
    <mergeCell ref="B1:J1"/>
    <mergeCell ref="B3:J3"/>
    <mergeCell ref="B5:J5"/>
  </mergeCells>
  <printOptions horizontalCentered="1"/>
  <pageMargins left="0.59055118110236227" right="0.59055118110236227" top="0.59055118110236227" bottom="0.59055118110236227" header="0.31496062992125984" footer="0.39370078740157483"/>
  <pageSetup paperSize="9" scale="70" fitToHeight="3" orientation="portrait" r:id="rId1"/>
  <headerFooter>
    <oddFooter>&amp;L&amp;8LEL Schwäbisch Gmünd, Ref. 31;
Dr. Hansjörg Nußbaum, LAZBW Aulendorf&amp;C&amp;8FRANSI
&amp;A&amp;R&amp;8Version 1.0
letzte Bearbeitung: &amp;D</oddFooter>
  </headerFooter>
  <rowBreaks count="1" manualBreakCount="1">
    <brk id="69" min="1" max="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1"/>
  <sheetViews>
    <sheetView zoomScaleNormal="100" workbookViewId="0">
      <pane ySplit="2" topLeftCell="A3" activePane="bottomLeft" state="frozen"/>
      <selection pane="bottomLeft" activeCell="A3" sqref="A3"/>
    </sheetView>
  </sheetViews>
  <sheetFormatPr baseColWidth="10" defaultColWidth="11" defaultRowHeight="14.25" x14ac:dyDescent="0.2"/>
  <cols>
    <col min="1" max="1" width="1.625" style="2" customWidth="1"/>
    <col min="2" max="2" width="5.625" style="2" customWidth="1"/>
    <col min="3" max="3" width="12.875" style="2" customWidth="1"/>
    <col min="4" max="4" width="11.375" style="2" customWidth="1"/>
    <col min="5" max="5" width="4.5" style="2" customWidth="1"/>
    <col min="6" max="6" width="14.625" style="2" customWidth="1"/>
    <col min="7" max="10" width="13.625" style="2" customWidth="1"/>
    <col min="11" max="11" width="1.625" style="2" customWidth="1"/>
    <col min="12" max="12" width="11" style="2" hidden="1" customWidth="1"/>
    <col min="13" max="13" width="12.5" style="2" hidden="1" customWidth="1"/>
    <col min="14" max="14" width="12.25" style="2" hidden="1" customWidth="1"/>
    <col min="15" max="15" width="11" style="2" hidden="1" customWidth="1"/>
    <col min="16" max="16" width="11.875" style="2" hidden="1" customWidth="1"/>
    <col min="17" max="18" width="11" style="2" hidden="1" customWidth="1"/>
    <col min="19" max="16384" width="11" style="2"/>
  </cols>
  <sheetData>
    <row r="1" spans="1:18" ht="15.75" x14ac:dyDescent="0.2">
      <c r="A1" s="147"/>
      <c r="B1" s="148" t="str">
        <f>IF(R8&gt;0,"Bitte wählen Sie in Zeile "&amp;R8&amp;" den Behältertyp aus!","")</f>
        <v/>
      </c>
      <c r="C1" s="147"/>
      <c r="D1" s="147"/>
      <c r="E1" s="147"/>
      <c r="F1" s="147"/>
      <c r="G1" s="147"/>
      <c r="H1" s="147"/>
      <c r="I1" s="147"/>
      <c r="J1" s="147"/>
      <c r="K1" s="146"/>
    </row>
    <row r="2" spans="1:18" ht="7.5" customHeight="1" x14ac:dyDescent="0.2">
      <c r="A2" s="335"/>
    </row>
    <row r="3" spans="1:18" ht="18.75" customHeight="1" x14ac:dyDescent="0.2">
      <c r="A3" s="300"/>
      <c r="B3" s="2" t="s">
        <v>227</v>
      </c>
      <c r="D3" s="654"/>
      <c r="E3" s="654"/>
      <c r="F3" s="654"/>
      <c r="G3" s="93" t="s">
        <v>228</v>
      </c>
      <c r="H3" s="654"/>
      <c r="I3" s="654"/>
      <c r="J3" s="654"/>
    </row>
    <row r="4" spans="1:18" ht="7.5" customHeight="1" x14ac:dyDescent="0.2">
      <c r="A4" s="300"/>
    </row>
    <row r="5" spans="1:18" ht="20.25" x14ac:dyDescent="0.2">
      <c r="B5" s="28" t="s">
        <v>29</v>
      </c>
      <c r="C5" s="3"/>
      <c r="D5" s="3"/>
      <c r="E5" s="3"/>
      <c r="F5" s="3"/>
      <c r="I5" s="117"/>
    </row>
    <row r="6" spans="1:18" ht="18.75" customHeight="1" x14ac:dyDescent="0.2">
      <c r="C6" s="3"/>
      <c r="D6" s="3"/>
      <c r="E6" s="3"/>
    </row>
    <row r="7" spans="1:18" ht="18.75" x14ac:dyDescent="0.2">
      <c r="B7" s="27" t="s">
        <v>24</v>
      </c>
      <c r="C7" s="13"/>
      <c r="D7" s="13"/>
      <c r="E7" s="13"/>
      <c r="F7" s="31" t="s">
        <v>122</v>
      </c>
      <c r="G7" s="31"/>
      <c r="H7" s="31" t="s">
        <v>12</v>
      </c>
      <c r="I7" s="31" t="s">
        <v>16</v>
      </c>
      <c r="J7" s="30" t="s">
        <v>11</v>
      </c>
      <c r="L7" s="2" t="s">
        <v>49</v>
      </c>
    </row>
    <row r="8" spans="1:18" ht="18" x14ac:dyDescent="0.2">
      <c r="B8" s="46" t="s">
        <v>28</v>
      </c>
      <c r="C8" s="14"/>
      <c r="D8" s="14"/>
      <c r="E8" s="14"/>
      <c r="F8" s="35"/>
      <c r="G8" s="33"/>
      <c r="H8" s="36" t="s">
        <v>13</v>
      </c>
      <c r="I8" s="36" t="s">
        <v>13</v>
      </c>
      <c r="J8" s="37" t="s">
        <v>2</v>
      </c>
      <c r="L8" s="2" t="s">
        <v>86</v>
      </c>
      <c r="R8" s="7">
        <f>MAX(R9:R58)</f>
        <v>0</v>
      </c>
    </row>
    <row r="9" spans="1:18" ht="18" customHeight="1" x14ac:dyDescent="0.2">
      <c r="B9" s="657" t="s">
        <v>19</v>
      </c>
      <c r="C9" s="644" t="s">
        <v>61</v>
      </c>
      <c r="D9" s="645"/>
      <c r="E9" s="646"/>
      <c r="F9" s="430"/>
      <c r="G9" s="10"/>
      <c r="H9" s="433"/>
      <c r="I9" s="433"/>
      <c r="J9" s="268">
        <f t="shared" ref="J9:J18" si="0">IF(F9=$N$13,H9*H9/4*(I9-$Q$13)*$M$9,IF(F9=$N$14,H9*H9/4*(I9-$Q$14)*$M$9,IF(F9=$N$15,H9*H9/4*(I9-$Q$15)*$M$9,0)))</f>
        <v>0</v>
      </c>
      <c r="L9" s="98">
        <f>IF(OR(F9=$N$13,F9=$N$14),H9*H9/4*$M$9,0)</f>
        <v>0</v>
      </c>
      <c r="M9" s="7">
        <f>PI()</f>
        <v>3.1415926535897931</v>
      </c>
      <c r="P9" s="52"/>
      <c r="R9" s="10">
        <f>IF(AND(SUM(H9:I9)&gt;0,F9=""),9,0)</f>
        <v>0</v>
      </c>
    </row>
    <row r="10" spans="1:18" ht="18" customHeight="1" thickBot="1" x14ac:dyDescent="0.25">
      <c r="B10" s="655"/>
      <c r="C10" s="634" t="s">
        <v>62</v>
      </c>
      <c r="D10" s="635"/>
      <c r="E10" s="636"/>
      <c r="F10" s="431"/>
      <c r="G10" s="43"/>
      <c r="H10" s="424"/>
      <c r="I10" s="424"/>
      <c r="J10" s="269">
        <f t="shared" si="0"/>
        <v>0</v>
      </c>
      <c r="L10" s="98">
        <f t="shared" ref="L10:L18" si="1">IF(OR(F10=$N$13,F10=$N$14),H10*H10/4*$M$9,0)</f>
        <v>0</v>
      </c>
      <c r="R10" s="43">
        <f>IF(AND(SUM(H10:I10)&gt;0,F10=""),10,0)</f>
        <v>0</v>
      </c>
    </row>
    <row r="11" spans="1:18" ht="18" customHeight="1" x14ac:dyDescent="0.2">
      <c r="B11" s="655"/>
      <c r="C11" s="634" t="s">
        <v>63</v>
      </c>
      <c r="D11" s="635"/>
      <c r="E11" s="636"/>
      <c r="F11" s="431"/>
      <c r="G11" s="43"/>
      <c r="H11" s="424"/>
      <c r="I11" s="424"/>
      <c r="J11" s="269">
        <f t="shared" si="0"/>
        <v>0</v>
      </c>
      <c r="L11" s="98">
        <f t="shared" si="1"/>
        <v>0</v>
      </c>
      <c r="M11" s="126"/>
      <c r="N11" s="125" t="s">
        <v>122</v>
      </c>
      <c r="O11" s="125" t="s">
        <v>102</v>
      </c>
      <c r="P11" s="133" t="s">
        <v>108</v>
      </c>
      <c r="Q11" s="134" t="s">
        <v>107</v>
      </c>
      <c r="R11" s="50">
        <f>IF(AND(SUM(H11:I11)&gt;0,F11=""),11,0)</f>
        <v>0</v>
      </c>
    </row>
    <row r="12" spans="1:18" ht="18" customHeight="1" x14ac:dyDescent="0.2">
      <c r="B12" s="655"/>
      <c r="C12" s="634" t="s">
        <v>64</v>
      </c>
      <c r="D12" s="635"/>
      <c r="E12" s="636"/>
      <c r="F12" s="431"/>
      <c r="G12" s="43"/>
      <c r="H12" s="424"/>
      <c r="I12" s="424"/>
      <c r="J12" s="269">
        <f t="shared" si="0"/>
        <v>0</v>
      </c>
      <c r="L12" s="98">
        <f t="shared" si="1"/>
        <v>0</v>
      </c>
      <c r="M12" s="40"/>
      <c r="N12" s="132"/>
      <c r="O12" s="135" t="s">
        <v>13</v>
      </c>
      <c r="P12" s="136" t="s">
        <v>13</v>
      </c>
      <c r="Q12" s="137" t="s">
        <v>13</v>
      </c>
      <c r="R12" s="50">
        <f>IF(AND(SUM(H12:I12)&gt;0,F12=""),12,0)</f>
        <v>0</v>
      </c>
    </row>
    <row r="13" spans="1:18" ht="18" customHeight="1" x14ac:dyDescent="0.2">
      <c r="B13" s="655"/>
      <c r="C13" s="634" t="s">
        <v>65</v>
      </c>
      <c r="D13" s="635"/>
      <c r="E13" s="636"/>
      <c r="F13" s="431"/>
      <c r="G13" s="43"/>
      <c r="H13" s="424"/>
      <c r="I13" s="424"/>
      <c r="J13" s="269">
        <f t="shared" si="0"/>
        <v>0</v>
      </c>
      <c r="L13" s="98">
        <f t="shared" si="1"/>
        <v>0</v>
      </c>
      <c r="M13" s="115">
        <v>1</v>
      </c>
      <c r="N13" s="10" t="s">
        <v>36</v>
      </c>
      <c r="O13" s="138">
        <v>0.5</v>
      </c>
      <c r="P13" s="138">
        <v>0.1</v>
      </c>
      <c r="Q13" s="139">
        <f>SUM(O13:P13)</f>
        <v>0.6</v>
      </c>
      <c r="R13" s="50">
        <f>IF(AND(SUM(H13:I13)&gt;0,F13=""),13,0)</f>
        <v>0</v>
      </c>
    </row>
    <row r="14" spans="1:18" ht="18" customHeight="1" x14ac:dyDescent="0.2">
      <c r="B14" s="655"/>
      <c r="C14" s="634" t="s">
        <v>66</v>
      </c>
      <c r="D14" s="635"/>
      <c r="E14" s="636"/>
      <c r="F14" s="431"/>
      <c r="G14" s="43"/>
      <c r="H14" s="425"/>
      <c r="I14" s="425"/>
      <c r="J14" s="270">
        <f t="shared" si="0"/>
        <v>0</v>
      </c>
      <c r="L14" s="98">
        <f t="shared" si="1"/>
        <v>0</v>
      </c>
      <c r="M14" s="40">
        <v>2</v>
      </c>
      <c r="N14" s="43" t="s">
        <v>15</v>
      </c>
      <c r="O14" s="140">
        <v>0.2</v>
      </c>
      <c r="P14" s="141">
        <v>0.1</v>
      </c>
      <c r="Q14" s="139">
        <f t="shared" ref="Q14:Q16" si="2">SUM(O14:P14)</f>
        <v>0.30000000000000004</v>
      </c>
      <c r="R14" s="50">
        <f>IF(AND(SUM(H14:I14)&gt;0,F14=""),14,0)</f>
        <v>0</v>
      </c>
    </row>
    <row r="15" spans="1:18" ht="18" customHeight="1" x14ac:dyDescent="0.2">
      <c r="B15" s="655"/>
      <c r="C15" s="634" t="s">
        <v>67</v>
      </c>
      <c r="D15" s="635"/>
      <c r="E15" s="636"/>
      <c r="F15" s="431"/>
      <c r="G15" s="43"/>
      <c r="H15" s="425"/>
      <c r="I15" s="425"/>
      <c r="J15" s="270">
        <f t="shared" si="0"/>
        <v>0</v>
      </c>
      <c r="L15" s="98">
        <f t="shared" si="1"/>
        <v>0</v>
      </c>
      <c r="M15" s="40">
        <v>3</v>
      </c>
      <c r="N15" s="43" t="s">
        <v>14</v>
      </c>
      <c r="O15" s="140">
        <v>0.1</v>
      </c>
      <c r="P15" s="141">
        <v>0.1</v>
      </c>
      <c r="Q15" s="139">
        <f t="shared" si="2"/>
        <v>0.2</v>
      </c>
      <c r="R15" s="50">
        <f>IF(AND(SUM(H15:I15)&gt;0,F15=""),15,0)</f>
        <v>0</v>
      </c>
    </row>
    <row r="16" spans="1:18" ht="18" customHeight="1" thickBot="1" x14ac:dyDescent="0.25">
      <c r="B16" s="655"/>
      <c r="C16" s="634" t="s">
        <v>68</v>
      </c>
      <c r="D16" s="635"/>
      <c r="E16" s="636"/>
      <c r="F16" s="431"/>
      <c r="G16" s="43"/>
      <c r="H16" s="425"/>
      <c r="I16" s="425"/>
      <c r="J16" s="270">
        <f t="shared" si="0"/>
        <v>0</v>
      </c>
      <c r="L16" s="98">
        <f t="shared" si="1"/>
        <v>0</v>
      </c>
      <c r="M16" s="116">
        <v>4</v>
      </c>
      <c r="N16" s="124"/>
      <c r="O16" s="142"/>
      <c r="P16" s="143"/>
      <c r="Q16" s="144">
        <f t="shared" si="2"/>
        <v>0</v>
      </c>
      <c r="R16" s="50">
        <f>IF(AND(SUM(H16:I16)&gt;0,F16=""),16,0)</f>
        <v>0</v>
      </c>
    </row>
    <row r="17" spans="2:20" ht="18" customHeight="1" x14ac:dyDescent="0.2">
      <c r="B17" s="655"/>
      <c r="C17" s="634" t="s">
        <v>109</v>
      </c>
      <c r="D17" s="635"/>
      <c r="E17" s="636"/>
      <c r="F17" s="431"/>
      <c r="G17" s="43"/>
      <c r="H17" s="425"/>
      <c r="I17" s="425"/>
      <c r="J17" s="270">
        <f t="shared" si="0"/>
        <v>0</v>
      </c>
      <c r="L17" s="98">
        <f t="shared" si="1"/>
        <v>0</v>
      </c>
      <c r="R17" s="43">
        <f>IF(AND(SUM(H17:I17)&gt;0,F17=""),17,0)</f>
        <v>0</v>
      </c>
      <c r="S17" s="146"/>
      <c r="T17" s="146"/>
    </row>
    <row r="18" spans="2:20" ht="18" customHeight="1" x14ac:dyDescent="0.2">
      <c r="B18" s="671"/>
      <c r="C18" s="647" t="s">
        <v>110</v>
      </c>
      <c r="D18" s="648"/>
      <c r="E18" s="649"/>
      <c r="F18" s="432"/>
      <c r="G18" s="11"/>
      <c r="H18" s="434"/>
      <c r="I18" s="434"/>
      <c r="J18" s="271">
        <f t="shared" si="0"/>
        <v>0</v>
      </c>
      <c r="L18" s="98">
        <f t="shared" si="1"/>
        <v>0</v>
      </c>
      <c r="R18" s="11">
        <f>IF(AND(SUM(H18:I18)&gt;0,F18=""),18,0)</f>
        <v>0</v>
      </c>
    </row>
    <row r="19" spans="2:20" ht="18" x14ac:dyDescent="0.2">
      <c r="B19" s="15"/>
      <c r="C19" s="16"/>
      <c r="D19" s="21"/>
      <c r="E19" s="21"/>
      <c r="F19" s="31" t="str">
        <f>F7</f>
        <v>Behältertyp</v>
      </c>
      <c r="G19" s="31" t="s">
        <v>17</v>
      </c>
      <c r="H19" s="31" t="s">
        <v>18</v>
      </c>
      <c r="I19" s="31" t="s">
        <v>16</v>
      </c>
      <c r="J19" s="30" t="s">
        <v>11</v>
      </c>
      <c r="L19" s="2" t="s">
        <v>49</v>
      </c>
      <c r="O19" s="52"/>
    </row>
    <row r="20" spans="2:20" ht="18" x14ac:dyDescent="0.2">
      <c r="B20" s="17"/>
      <c r="C20" s="18"/>
      <c r="D20" s="22"/>
      <c r="E20" s="22"/>
      <c r="F20" s="34"/>
      <c r="G20" s="33" t="s">
        <v>13</v>
      </c>
      <c r="H20" s="33" t="s">
        <v>13</v>
      </c>
      <c r="I20" s="33" t="s">
        <v>13</v>
      </c>
      <c r="J20" s="32" t="s">
        <v>2</v>
      </c>
      <c r="L20" s="2" t="s">
        <v>86</v>
      </c>
    </row>
    <row r="21" spans="2:20" ht="18" customHeight="1" x14ac:dyDescent="0.2">
      <c r="B21" s="672" t="s">
        <v>20</v>
      </c>
      <c r="C21" s="644" t="s">
        <v>114</v>
      </c>
      <c r="D21" s="645"/>
      <c r="E21" s="646"/>
      <c r="F21" s="430"/>
      <c r="G21" s="433"/>
      <c r="H21" s="433"/>
      <c r="I21" s="433"/>
      <c r="J21" s="268">
        <f t="shared" ref="J21:J27" si="3">IF(F21=$N$13,G21*H21*(I21-$Q$13),IF(F21=$N$14,G21*H21*(I21-$Q$14),IF(F21=$N$15,G21*H21*(I21-$Q$15),0)))</f>
        <v>0</v>
      </c>
      <c r="L21" s="98">
        <f>IF(OR(F21=$N$13,F21=$N$14),G21*H21,0)</f>
        <v>0</v>
      </c>
      <c r="Q21" s="52"/>
      <c r="R21" s="10">
        <f>IF(AND(SUM(G21:I21)&gt;0,F21=""),21,0)</f>
        <v>0</v>
      </c>
    </row>
    <row r="22" spans="2:20" ht="18" customHeight="1" x14ac:dyDescent="0.2">
      <c r="B22" s="656"/>
      <c r="C22" s="634" t="s">
        <v>115</v>
      </c>
      <c r="D22" s="635"/>
      <c r="E22" s="636"/>
      <c r="F22" s="431"/>
      <c r="G22" s="424"/>
      <c r="H22" s="424"/>
      <c r="I22" s="424"/>
      <c r="J22" s="269">
        <f t="shared" si="3"/>
        <v>0</v>
      </c>
      <c r="L22" s="98">
        <f t="shared" ref="L22:L28" si="4">IF(OR(F22=$N$13,F22=$N$14),G22*H22,0)</f>
        <v>0</v>
      </c>
      <c r="R22" s="43">
        <f>IF(AND(SUM(G22:I22)&gt;0,F22=""),22,0)</f>
        <v>0</v>
      </c>
    </row>
    <row r="23" spans="2:20" ht="18" customHeight="1" x14ac:dyDescent="0.2">
      <c r="B23" s="656"/>
      <c r="C23" s="634" t="s">
        <v>116</v>
      </c>
      <c r="D23" s="635"/>
      <c r="E23" s="636"/>
      <c r="F23" s="431"/>
      <c r="G23" s="424"/>
      <c r="H23" s="424"/>
      <c r="I23" s="424"/>
      <c r="J23" s="269">
        <f t="shared" si="3"/>
        <v>0</v>
      </c>
      <c r="L23" s="98">
        <f t="shared" si="4"/>
        <v>0</v>
      </c>
      <c r="R23" s="43">
        <f>IF(AND(SUM(G23:I23)&gt;0,F23=""),23,0)</f>
        <v>0</v>
      </c>
    </row>
    <row r="24" spans="2:20" ht="18" customHeight="1" x14ac:dyDescent="0.2">
      <c r="B24" s="656"/>
      <c r="C24" s="634" t="s">
        <v>117</v>
      </c>
      <c r="D24" s="635"/>
      <c r="E24" s="636"/>
      <c r="F24" s="431"/>
      <c r="G24" s="424"/>
      <c r="H24" s="424"/>
      <c r="I24" s="424"/>
      <c r="J24" s="269">
        <f t="shared" si="3"/>
        <v>0</v>
      </c>
      <c r="L24" s="98">
        <f t="shared" si="4"/>
        <v>0</v>
      </c>
      <c r="R24" s="43">
        <f>IF(AND(SUM(G24:I24)&gt;0,F24=""),24,0)</f>
        <v>0</v>
      </c>
    </row>
    <row r="25" spans="2:20" ht="18" customHeight="1" x14ac:dyDescent="0.2">
      <c r="B25" s="656"/>
      <c r="C25" s="634" t="s">
        <v>118</v>
      </c>
      <c r="D25" s="635"/>
      <c r="E25" s="636"/>
      <c r="F25" s="431"/>
      <c r="G25" s="424"/>
      <c r="H25" s="424"/>
      <c r="I25" s="424"/>
      <c r="J25" s="269">
        <f t="shared" si="3"/>
        <v>0</v>
      </c>
      <c r="L25" s="98">
        <f t="shared" si="4"/>
        <v>0</v>
      </c>
      <c r="R25" s="43">
        <f>IF(AND(SUM(G25:I25)&gt;0,F25=""),25,0)</f>
        <v>0</v>
      </c>
    </row>
    <row r="26" spans="2:20" ht="18" customHeight="1" x14ac:dyDescent="0.2">
      <c r="B26" s="656"/>
      <c r="C26" s="634" t="s">
        <v>119</v>
      </c>
      <c r="D26" s="635"/>
      <c r="E26" s="636"/>
      <c r="F26" s="431"/>
      <c r="G26" s="424"/>
      <c r="H26" s="424"/>
      <c r="I26" s="424"/>
      <c r="J26" s="269">
        <f t="shared" si="3"/>
        <v>0</v>
      </c>
      <c r="L26" s="98">
        <f t="shared" si="4"/>
        <v>0</v>
      </c>
      <c r="R26" s="43">
        <f>IF(AND(SUM(G26:I26)&gt;0,F26=""),26,0)</f>
        <v>0</v>
      </c>
    </row>
    <row r="27" spans="2:20" ht="18" customHeight="1" x14ac:dyDescent="0.2">
      <c r="B27" s="656"/>
      <c r="C27" s="634" t="s">
        <v>120</v>
      </c>
      <c r="D27" s="635"/>
      <c r="E27" s="636"/>
      <c r="F27" s="431"/>
      <c r="G27" s="424"/>
      <c r="H27" s="424"/>
      <c r="I27" s="424"/>
      <c r="J27" s="269">
        <f t="shared" si="3"/>
        <v>0</v>
      </c>
      <c r="L27" s="98">
        <f t="shared" si="4"/>
        <v>0</v>
      </c>
      <c r="R27" s="43">
        <f>IF(AND(SUM(G27:I27)&gt;0,F27=""),27,0)</f>
        <v>0</v>
      </c>
    </row>
    <row r="28" spans="2:20" ht="18" customHeight="1" thickBot="1" x14ac:dyDescent="0.25">
      <c r="B28" s="656"/>
      <c r="C28" s="637" t="s">
        <v>121</v>
      </c>
      <c r="D28" s="638"/>
      <c r="E28" s="639"/>
      <c r="F28" s="435"/>
      <c r="G28" s="425"/>
      <c r="H28" s="425"/>
      <c r="I28" s="425"/>
      <c r="J28" s="270">
        <f>IF(F28=$N$13,G28*H28*(I28-$Q$13),IF(F28=$N$14,G28*H28*(I28-$Q$14),IF(F28=$N$15,G28*H28*(I28-$Q$15),0)))</f>
        <v>0</v>
      </c>
      <c r="L28" s="98">
        <f t="shared" si="4"/>
        <v>0</v>
      </c>
      <c r="R28" s="11">
        <f>IF(AND(SUM(G28:I28)&gt;0,F28=""),28,0)</f>
        <v>0</v>
      </c>
    </row>
    <row r="29" spans="2:20" ht="18.75" customHeight="1" thickTop="1" thickBot="1" x14ac:dyDescent="0.25">
      <c r="B29" s="103" t="s">
        <v>43</v>
      </c>
      <c r="C29" s="104"/>
      <c r="D29" s="104"/>
      <c r="E29" s="104"/>
      <c r="F29" s="104"/>
      <c r="G29" s="105"/>
      <c r="H29" s="105"/>
      <c r="I29" s="105"/>
      <c r="J29" s="272">
        <f>SUM(J9:J28)</f>
        <v>0</v>
      </c>
      <c r="L29" s="99">
        <f>SUM(L9:L18,L21:L28)</f>
        <v>0</v>
      </c>
    </row>
    <row r="30" spans="2:20" ht="18.75" customHeight="1" thickTop="1" x14ac:dyDescent="0.2"/>
    <row r="31" spans="2:20" ht="18.75" customHeight="1" x14ac:dyDescent="0.2">
      <c r="B31" s="27" t="s">
        <v>26</v>
      </c>
      <c r="C31" s="13"/>
      <c r="D31" s="13"/>
      <c r="E31" s="650" t="s">
        <v>37</v>
      </c>
      <c r="F31" s="651"/>
      <c r="G31" s="31" t="s">
        <v>17</v>
      </c>
      <c r="H31" s="31" t="s">
        <v>18</v>
      </c>
      <c r="I31" s="31" t="s">
        <v>16</v>
      </c>
      <c r="J31" s="30" t="s">
        <v>11</v>
      </c>
    </row>
    <row r="32" spans="2:20" ht="18.75" customHeight="1" x14ac:dyDescent="0.2">
      <c r="B32" s="19"/>
      <c r="C32" s="20"/>
      <c r="D32" s="20"/>
      <c r="E32" s="652"/>
      <c r="F32" s="653"/>
      <c r="G32" s="33" t="s">
        <v>13</v>
      </c>
      <c r="H32" s="33" t="s">
        <v>13</v>
      </c>
      <c r="I32" s="33" t="s">
        <v>13</v>
      </c>
      <c r="J32" s="32" t="s">
        <v>2</v>
      </c>
    </row>
    <row r="33" spans="2:20" ht="18.75" customHeight="1" x14ac:dyDescent="0.2">
      <c r="B33" s="658" t="s">
        <v>38</v>
      </c>
      <c r="C33" s="659"/>
      <c r="D33" s="633"/>
      <c r="E33" s="633"/>
      <c r="F33" s="38">
        <f>L33</f>
        <v>10</v>
      </c>
      <c r="G33" s="433"/>
      <c r="H33" s="433"/>
      <c r="I33" s="433"/>
      <c r="J33" s="273">
        <f>G33*H33*(I33-(L33/100))</f>
        <v>0</v>
      </c>
      <c r="L33" s="450">
        <v>10</v>
      </c>
      <c r="R33" s="146"/>
      <c r="S33" s="146"/>
      <c r="T33" s="146"/>
    </row>
    <row r="34" spans="2:20" ht="18.75" customHeight="1" x14ac:dyDescent="0.2">
      <c r="B34" s="640" t="s">
        <v>39</v>
      </c>
      <c r="C34" s="641"/>
      <c r="D34" s="632"/>
      <c r="E34" s="632"/>
      <c r="F34" s="39">
        <f>L34</f>
        <v>10</v>
      </c>
      <c r="G34" s="424"/>
      <c r="H34" s="424"/>
      <c r="I34" s="424"/>
      <c r="J34" s="274">
        <f>G34*H34*(I34-(L34/100))</f>
        <v>0</v>
      </c>
      <c r="L34" s="451">
        <v>10</v>
      </c>
    </row>
    <row r="35" spans="2:20" ht="18.75" customHeight="1" x14ac:dyDescent="0.2">
      <c r="B35" s="640" t="s">
        <v>40</v>
      </c>
      <c r="C35" s="641"/>
      <c r="D35" s="24"/>
      <c r="E35" s="24"/>
      <c r="F35" s="39">
        <f>L35</f>
        <v>10</v>
      </c>
      <c r="G35" s="424"/>
      <c r="H35" s="424"/>
      <c r="I35" s="424"/>
      <c r="J35" s="274">
        <f>G35*H35*(I35-(L35/100))</f>
        <v>0</v>
      </c>
      <c r="L35" s="451">
        <v>10</v>
      </c>
    </row>
    <row r="36" spans="2:20" ht="18.75" customHeight="1" x14ac:dyDescent="0.2">
      <c r="B36" s="640" t="s">
        <v>41</v>
      </c>
      <c r="C36" s="641"/>
      <c r="D36" s="101"/>
      <c r="E36" s="101"/>
      <c r="F36" s="102">
        <f>L36</f>
        <v>10</v>
      </c>
      <c r="G36" s="425"/>
      <c r="H36" s="425"/>
      <c r="I36" s="425"/>
      <c r="J36" s="275">
        <f>G36*H36*(I36-(L36/100))</f>
        <v>0</v>
      </c>
      <c r="L36" s="451">
        <v>10</v>
      </c>
    </row>
    <row r="37" spans="2:20" ht="18.75" customHeight="1" x14ac:dyDescent="0.2">
      <c r="B37" s="640" t="s">
        <v>103</v>
      </c>
      <c r="C37" s="641"/>
      <c r="D37" s="101"/>
      <c r="E37" s="101"/>
      <c r="F37" s="102">
        <f t="shared" ref="F37:F40" si="5">L37</f>
        <v>10</v>
      </c>
      <c r="G37" s="425"/>
      <c r="H37" s="425"/>
      <c r="I37" s="425"/>
      <c r="J37" s="275">
        <f t="shared" ref="J37:J40" si="6">G37*H37*(I37-(L37/100))</f>
        <v>0</v>
      </c>
      <c r="L37" s="451">
        <v>10</v>
      </c>
    </row>
    <row r="38" spans="2:20" ht="18.75" customHeight="1" x14ac:dyDescent="0.2">
      <c r="B38" s="640" t="s">
        <v>104</v>
      </c>
      <c r="C38" s="641"/>
      <c r="D38" s="101"/>
      <c r="E38" s="101"/>
      <c r="F38" s="102">
        <f t="shared" si="5"/>
        <v>10</v>
      </c>
      <c r="G38" s="425"/>
      <c r="H38" s="425"/>
      <c r="I38" s="425"/>
      <c r="J38" s="275">
        <f t="shared" si="6"/>
        <v>0</v>
      </c>
      <c r="L38" s="451">
        <v>10</v>
      </c>
    </row>
    <row r="39" spans="2:20" ht="18.75" customHeight="1" x14ac:dyDescent="0.2">
      <c r="B39" s="640" t="s">
        <v>105</v>
      </c>
      <c r="C39" s="641"/>
      <c r="D39" s="101"/>
      <c r="E39" s="101"/>
      <c r="F39" s="102">
        <f t="shared" si="5"/>
        <v>10</v>
      </c>
      <c r="G39" s="425"/>
      <c r="H39" s="425"/>
      <c r="I39" s="425"/>
      <c r="J39" s="275">
        <f t="shared" si="6"/>
        <v>0</v>
      </c>
      <c r="L39" s="451">
        <v>10</v>
      </c>
    </row>
    <row r="40" spans="2:20" ht="18.75" customHeight="1" thickBot="1" x14ac:dyDescent="0.25">
      <c r="B40" s="642" t="s">
        <v>106</v>
      </c>
      <c r="C40" s="643"/>
      <c r="D40" s="101"/>
      <c r="E40" s="101"/>
      <c r="F40" s="102">
        <f t="shared" si="5"/>
        <v>10</v>
      </c>
      <c r="G40" s="425"/>
      <c r="H40" s="425"/>
      <c r="I40" s="425"/>
      <c r="J40" s="275">
        <f t="shared" si="6"/>
        <v>0</v>
      </c>
      <c r="L40" s="452">
        <v>10</v>
      </c>
    </row>
    <row r="41" spans="2:20" ht="18.75" customHeight="1" thickTop="1" thickBot="1" x14ac:dyDescent="0.25">
      <c r="B41" s="103" t="s">
        <v>42</v>
      </c>
      <c r="C41" s="104"/>
      <c r="D41" s="104"/>
      <c r="E41" s="104"/>
      <c r="F41" s="104"/>
      <c r="G41" s="105"/>
      <c r="H41" s="105"/>
      <c r="I41" s="105"/>
      <c r="J41" s="272">
        <f>SUM(J33:J40)</f>
        <v>0</v>
      </c>
    </row>
    <row r="42" spans="2:20" ht="18.75" customHeight="1" thickTop="1" x14ac:dyDescent="0.2"/>
    <row r="43" spans="2:20" ht="18.75" customHeight="1" x14ac:dyDescent="0.2">
      <c r="B43" s="44" t="s">
        <v>21</v>
      </c>
      <c r="C43" s="25"/>
      <c r="D43" s="25"/>
      <c r="E43" s="25"/>
      <c r="F43" s="25"/>
      <c r="G43" s="660" t="s">
        <v>23</v>
      </c>
      <c r="H43" s="661"/>
      <c r="I43" s="662"/>
      <c r="J43" s="29" t="s">
        <v>2</v>
      </c>
    </row>
    <row r="44" spans="2:20" ht="18" customHeight="1" x14ac:dyDescent="0.2">
      <c r="B44" s="62" t="s">
        <v>233</v>
      </c>
      <c r="C44" s="23"/>
      <c r="D44" s="23"/>
      <c r="E44" s="23"/>
      <c r="F44" s="23"/>
      <c r="G44" s="663"/>
      <c r="H44" s="664"/>
      <c r="I44" s="665"/>
      <c r="J44" s="436"/>
    </row>
    <row r="45" spans="2:20" ht="18" customHeight="1" x14ac:dyDescent="0.2">
      <c r="B45" s="508" t="s">
        <v>234</v>
      </c>
      <c r="C45" s="6"/>
      <c r="D45" s="6"/>
      <c r="E45" s="6"/>
      <c r="F45" s="6"/>
      <c r="G45" s="666"/>
      <c r="H45" s="667"/>
      <c r="I45" s="668"/>
      <c r="J45" s="437"/>
    </row>
    <row r="46" spans="2:20" ht="18.75" customHeight="1" x14ac:dyDescent="0.2"/>
    <row r="47" spans="2:20" ht="15.75" x14ac:dyDescent="0.2">
      <c r="B47" s="27" t="s">
        <v>44</v>
      </c>
      <c r="C47" s="53"/>
      <c r="D47" s="53"/>
      <c r="E47" s="53"/>
      <c r="F47" s="31" t="s">
        <v>122</v>
      </c>
      <c r="G47" s="31"/>
      <c r="H47" s="31" t="s">
        <v>12</v>
      </c>
      <c r="I47" s="31" t="s">
        <v>16</v>
      </c>
      <c r="J47" s="30" t="s">
        <v>11</v>
      </c>
      <c r="M47" s="42"/>
    </row>
    <row r="48" spans="2:20" x14ac:dyDescent="0.2">
      <c r="B48" s="19"/>
      <c r="C48" s="20"/>
      <c r="D48" s="669" t="s">
        <v>3</v>
      </c>
      <c r="E48" s="670"/>
      <c r="F48" s="35"/>
      <c r="G48" s="33"/>
      <c r="H48" s="33" t="s">
        <v>13</v>
      </c>
      <c r="I48" s="33" t="s">
        <v>13</v>
      </c>
      <c r="J48" s="32" t="s">
        <v>2</v>
      </c>
      <c r="L48" s="2" t="s">
        <v>86</v>
      </c>
    </row>
    <row r="49" spans="1:18" ht="18" customHeight="1" x14ac:dyDescent="0.2">
      <c r="B49" s="655" t="s">
        <v>19</v>
      </c>
      <c r="C49" s="438" t="s">
        <v>61</v>
      </c>
      <c r="D49" s="241"/>
      <c r="E49" s="441">
        <v>1</v>
      </c>
      <c r="F49" s="444"/>
      <c r="G49" s="43"/>
      <c r="H49" s="445"/>
      <c r="I49" s="445"/>
      <c r="J49" s="276">
        <f>IF(F49=$N$14,E49*H49*H49/4*(I49-$Q$14)*$M$9,IF(F49=$N$15,E49*H49*H49/4*(I49-$Q$15)*$M$9,0))</f>
        <v>0</v>
      </c>
      <c r="L49" s="98">
        <f>IF(F49=$N$14,E49*H49*H49/4*$M$9,0)</f>
        <v>0</v>
      </c>
      <c r="M49" s="9"/>
      <c r="N49" s="9"/>
      <c r="O49" s="123"/>
      <c r="R49" s="10">
        <f>IF(AND(SUM(H49:I49)&gt;0,F49=""),49,0)</f>
        <v>0</v>
      </c>
    </row>
    <row r="50" spans="1:18" ht="18" customHeight="1" x14ac:dyDescent="0.2">
      <c r="B50" s="656"/>
      <c r="C50" s="439" t="s">
        <v>62</v>
      </c>
      <c r="D50" s="243"/>
      <c r="E50" s="442">
        <v>1</v>
      </c>
      <c r="F50" s="431"/>
      <c r="G50" s="43"/>
      <c r="H50" s="424"/>
      <c r="I50" s="424"/>
      <c r="J50" s="269">
        <f>IF(F50=$N$14,E50*H50*H50/4*(I50-$Q$14)*$M$9,IF(F50=$N$15,E50*H50*H50/4*(I50-$Q$15)*$M$9,0))</f>
        <v>0</v>
      </c>
      <c r="L50" s="98">
        <f t="shared" ref="L50:L52" si="7">IF(F50=$N$14,E50*H50*H50/4*$M$9,0)</f>
        <v>0</v>
      </c>
      <c r="M50" s="9"/>
      <c r="N50" s="9"/>
      <c r="O50" s="9"/>
      <c r="R50" s="43">
        <f>IF(AND(SUM(H50:I50)&gt;0,F50=""),50,0)</f>
        <v>0</v>
      </c>
    </row>
    <row r="51" spans="1:18" ht="18" customHeight="1" x14ac:dyDescent="0.2">
      <c r="B51" s="656"/>
      <c r="C51" s="439" t="s">
        <v>63</v>
      </c>
      <c r="D51" s="243"/>
      <c r="E51" s="442">
        <v>1</v>
      </c>
      <c r="F51" s="431"/>
      <c r="G51" s="43"/>
      <c r="H51" s="424"/>
      <c r="I51" s="424"/>
      <c r="J51" s="269">
        <f>IF(F51=$N$14,E51*H51*H51/4*(I51-$Q$14)*$M$9,IF(F51=$N$15,E51*H51*H51/4*(I51-$Q$15)*$M$9,0))</f>
        <v>0</v>
      </c>
      <c r="L51" s="98">
        <f t="shared" si="7"/>
        <v>0</v>
      </c>
      <c r="M51" s="9"/>
      <c r="N51" s="9"/>
      <c r="O51" s="9"/>
      <c r="R51" s="43">
        <f>IF(AND(SUM(H51:I51)&gt;0,F51=""),51,0)</f>
        <v>0</v>
      </c>
    </row>
    <row r="52" spans="1:18" ht="18" customHeight="1" x14ac:dyDescent="0.2">
      <c r="B52" s="656"/>
      <c r="C52" s="440" t="s">
        <v>64</v>
      </c>
      <c r="D52" s="242"/>
      <c r="E52" s="443">
        <v>1</v>
      </c>
      <c r="F52" s="435"/>
      <c r="G52" s="43"/>
      <c r="H52" s="424"/>
      <c r="I52" s="424"/>
      <c r="J52" s="269">
        <f>IF(F52=$N$14,E52*H52*H52/4*(I52-$Q$14)*$M$9,IF(F52=$N$15,E52*H52*H52/4*(I52-$Q$15)*$M$9,0))</f>
        <v>0</v>
      </c>
      <c r="L52" s="98">
        <f t="shared" si="7"/>
        <v>0</v>
      </c>
      <c r="M52" s="9"/>
      <c r="N52" s="9"/>
      <c r="O52" s="9"/>
      <c r="R52" s="43">
        <f>IF(AND(SUM(H52:I52)&gt;0,F52=""),52,0)</f>
        <v>0</v>
      </c>
    </row>
    <row r="53" spans="1:18" x14ac:dyDescent="0.2">
      <c r="B53" s="54"/>
      <c r="C53" s="53"/>
      <c r="D53" s="80"/>
      <c r="E53" s="80"/>
      <c r="F53" s="31" t="s">
        <v>122</v>
      </c>
      <c r="G53" s="31" t="s">
        <v>17</v>
      </c>
      <c r="H53" s="31" t="s">
        <v>18</v>
      </c>
      <c r="I53" s="31" t="s">
        <v>16</v>
      </c>
      <c r="J53" s="30" t="s">
        <v>11</v>
      </c>
      <c r="L53" s="98"/>
      <c r="M53" s="9"/>
      <c r="N53" s="9"/>
      <c r="O53" s="9"/>
      <c r="R53" s="43"/>
    </row>
    <row r="54" spans="1:18" x14ac:dyDescent="0.2">
      <c r="B54" s="55"/>
      <c r="C54" s="20"/>
      <c r="D54" s="81"/>
      <c r="E54" s="81"/>
      <c r="F54" s="56"/>
      <c r="G54" s="33" t="s">
        <v>13</v>
      </c>
      <c r="H54" s="33" t="s">
        <v>13</v>
      </c>
      <c r="I54" s="33" t="s">
        <v>13</v>
      </c>
      <c r="J54" s="32" t="s">
        <v>2</v>
      </c>
      <c r="L54" s="98"/>
      <c r="R54" s="43"/>
    </row>
    <row r="55" spans="1:18" ht="18" customHeight="1" x14ac:dyDescent="0.2">
      <c r="B55" s="657" t="s">
        <v>20</v>
      </c>
      <c r="C55" s="438" t="s">
        <v>65</v>
      </c>
      <c r="D55" s="241"/>
      <c r="E55" s="441">
        <v>1</v>
      </c>
      <c r="F55" s="447"/>
      <c r="G55" s="433"/>
      <c r="H55" s="433"/>
      <c r="I55" s="433"/>
      <c r="J55" s="273">
        <f>IF(F55=$N$14,E55*G55*H55*(I55-$Q$14),IF(F55=$N$15,E55*G55*H55*(I55-$Q$15),0))</f>
        <v>0</v>
      </c>
      <c r="L55" s="98">
        <f>IF(F55=$N$14,E55*G55*H55,0)</f>
        <v>0</v>
      </c>
      <c r="R55" s="43">
        <f>IF(AND(SUM(H55:I55)&gt;0,F55=""),55,0)</f>
        <v>0</v>
      </c>
    </row>
    <row r="56" spans="1:18" ht="18" customHeight="1" x14ac:dyDescent="0.2">
      <c r="B56" s="655"/>
      <c r="C56" s="439" t="s">
        <v>66</v>
      </c>
      <c r="D56" s="243"/>
      <c r="E56" s="442">
        <v>1</v>
      </c>
      <c r="F56" s="447"/>
      <c r="G56" s="424"/>
      <c r="H56" s="424"/>
      <c r="I56" s="424"/>
      <c r="J56" s="274">
        <f>IF(F56=$N$14,E56*G56*H56*(I56-$Q$14),IF(F56=$N$15,E56*G56*H56*(I56-$Q$15),0))</f>
        <v>0</v>
      </c>
      <c r="L56" s="98">
        <f t="shared" ref="L56:L58" si="8">IF(F56=$N$14,E56*G56*H56,0)</f>
        <v>0</v>
      </c>
      <c r="R56" s="43">
        <f>IF(AND(SUM(H56:I56)&gt;0,F56=""),56,0)</f>
        <v>0</v>
      </c>
    </row>
    <row r="57" spans="1:18" ht="18" customHeight="1" x14ac:dyDescent="0.2">
      <c r="B57" s="655"/>
      <c r="C57" s="439" t="s">
        <v>67</v>
      </c>
      <c r="D57" s="243"/>
      <c r="E57" s="442">
        <v>1</v>
      </c>
      <c r="F57" s="447"/>
      <c r="G57" s="424"/>
      <c r="H57" s="424"/>
      <c r="I57" s="424"/>
      <c r="J57" s="274">
        <f>IF(F57=$N$14,E57*G57*H57*(I57-$Q$14),IF(F57=$N$15,E57*G57*H57*(I57-$Q$15),0))</f>
        <v>0</v>
      </c>
      <c r="L57" s="98">
        <f t="shared" si="8"/>
        <v>0</v>
      </c>
      <c r="R57" s="43">
        <f>IF(AND(SUM(H57:I57)&gt;0,F57=""),57,0)</f>
        <v>0</v>
      </c>
    </row>
    <row r="58" spans="1:18" ht="18" customHeight="1" thickBot="1" x14ac:dyDescent="0.25">
      <c r="B58" s="655"/>
      <c r="C58" s="446" t="s">
        <v>68</v>
      </c>
      <c r="D58" s="244"/>
      <c r="E58" s="448">
        <v>1</v>
      </c>
      <c r="F58" s="449"/>
      <c r="G58" s="425"/>
      <c r="H58" s="425"/>
      <c r="I58" s="425"/>
      <c r="J58" s="275">
        <f>IF(F58=$N$14,E58*G58*H58*(I58-$Q$14),IF(F58=$N$15,E58*G58*H58*(I58-$Q$15),0))</f>
        <v>0</v>
      </c>
      <c r="L58" s="98">
        <f t="shared" si="8"/>
        <v>0</v>
      </c>
      <c r="R58" s="11">
        <f>IF(AND(SUM(H58:I58)&gt;0,F58=""),58,0)</f>
        <v>0</v>
      </c>
    </row>
    <row r="59" spans="1:18" ht="18.75" customHeight="1" thickTop="1" thickBot="1" x14ac:dyDescent="0.25">
      <c r="B59" s="103" t="s">
        <v>82</v>
      </c>
      <c r="C59" s="104"/>
      <c r="D59" s="104"/>
      <c r="E59" s="104"/>
      <c r="F59" s="104"/>
      <c r="G59" s="105"/>
      <c r="H59" s="105"/>
      <c r="I59" s="105"/>
      <c r="J59" s="272">
        <f>SUM(J49:J58)</f>
        <v>0</v>
      </c>
      <c r="L59" s="99">
        <f>SUM(L49:L58)</f>
        <v>0</v>
      </c>
    </row>
    <row r="60" spans="1:18" ht="9" customHeight="1" thickTop="1" x14ac:dyDescent="0.2">
      <c r="J60" s="52"/>
    </row>
    <row r="61" spans="1:18" ht="21" customHeight="1" x14ac:dyDescent="0.2">
      <c r="A61" s="335"/>
    </row>
  </sheetData>
  <sheetProtection password="DE9F" sheet="1" objects="1" scenarios="1"/>
  <mergeCells count="39">
    <mergeCell ref="D3:F3"/>
    <mergeCell ref="H3:J3"/>
    <mergeCell ref="B49:B52"/>
    <mergeCell ref="B55:B58"/>
    <mergeCell ref="B33:C33"/>
    <mergeCell ref="B34:C34"/>
    <mergeCell ref="B35:C35"/>
    <mergeCell ref="B36:C36"/>
    <mergeCell ref="B37:C37"/>
    <mergeCell ref="G43:I43"/>
    <mergeCell ref="G44:I44"/>
    <mergeCell ref="G45:I45"/>
    <mergeCell ref="D48:E48"/>
    <mergeCell ref="B9:B18"/>
    <mergeCell ref="B21:B28"/>
    <mergeCell ref="B38:C38"/>
    <mergeCell ref="B39:C39"/>
    <mergeCell ref="B40:C40"/>
    <mergeCell ref="C9:E9"/>
    <mergeCell ref="C10:E10"/>
    <mergeCell ref="C11:E11"/>
    <mergeCell ref="C12:E12"/>
    <mergeCell ref="C13:E13"/>
    <mergeCell ref="C14:E14"/>
    <mergeCell ref="C15:E15"/>
    <mergeCell ref="C16:E16"/>
    <mergeCell ref="C17:E17"/>
    <mergeCell ref="C18:E18"/>
    <mergeCell ref="C21:E21"/>
    <mergeCell ref="C22:E22"/>
    <mergeCell ref="C23:E23"/>
    <mergeCell ref="E31:F32"/>
    <mergeCell ref="D34:E34"/>
    <mergeCell ref="D33:E33"/>
    <mergeCell ref="C24:E24"/>
    <mergeCell ref="C25:E25"/>
    <mergeCell ref="C26:E26"/>
    <mergeCell ref="C27:E27"/>
    <mergeCell ref="C28:E28"/>
  </mergeCells>
  <dataValidations count="3">
    <dataValidation type="list" allowBlank="1" showInputMessage="1" showErrorMessage="1" errorTitle="Art des Behälters" error="Bitte wählen Sie zwischen geschlossenem und offenem Behälter aus!" sqref="F55:F58 F49:F52">
      <formula1>$N$14:$N$16</formula1>
    </dataValidation>
    <dataValidation type="list" allowBlank="1" showInputMessage="1" showErrorMessage="1" errorTitle="Art des Behälters" error="Bitte wählen Sie zwischen geschlossenem und offenem Behälter aus!" sqref="F21:F22">
      <formula1>$N$13:$N$16</formula1>
    </dataValidation>
    <dataValidation type="list" allowBlank="1" showInputMessage="1" showErrorMessage="1" errorTitle="Art des Behälters" error="Bitte wählen Sie zwischen geschlossenem, offenem Behälter und Erdbecken aus!" sqref="F9:F18 F23:F28">
      <formula1>$N$13:$N$16</formula1>
    </dataValidation>
  </dataValidations>
  <printOptions horizontalCentered="1"/>
  <pageMargins left="0.59055118110236227" right="0.59055118110236227" top="0.59055118110236227" bottom="0.59055118110236227" header="0.31496062992125984" footer="0.39370078740157483"/>
  <pageSetup paperSize="9" scale="76" orientation="portrait" r:id="rId1"/>
  <headerFooter>
    <oddFooter>&amp;L&amp;8LEL Schwäbisch Gmünd, Ref. 31;
Dr. Hansjörg Nußbaum, LAZBW Aulendorf&amp;C&amp;8FRANSI
&amp;A&amp;R&amp;8Version 1.0
letzte Bearbeitung: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82" r:id="rId4" name="Scroll Bar 14">
              <controlPr locked="0" defaultSize="0" print="0" autoPict="0">
                <anchor>
                  <from>
                    <xdr:col>3</xdr:col>
                    <xdr:colOff>0</xdr:colOff>
                    <xdr:row>31</xdr:row>
                    <xdr:rowOff>228600</xdr:rowOff>
                  </from>
                  <to>
                    <xdr:col>4</xdr:col>
                    <xdr:colOff>0</xdr:colOff>
                    <xdr:row>32</xdr:row>
                    <xdr:rowOff>228600</xdr:rowOff>
                  </to>
                </anchor>
              </controlPr>
            </control>
          </mc:Choice>
        </mc:AlternateContent>
        <mc:AlternateContent xmlns:mc="http://schemas.openxmlformats.org/markup-compatibility/2006">
          <mc:Choice Requires="x14">
            <control shapeId="7183" r:id="rId5" name="Scroll Bar 15">
              <controlPr locked="0" defaultSize="0" print="0" autoPict="0">
                <anchor>
                  <from>
                    <xdr:col>3</xdr:col>
                    <xdr:colOff>0</xdr:colOff>
                    <xdr:row>32</xdr:row>
                    <xdr:rowOff>228600</xdr:rowOff>
                  </from>
                  <to>
                    <xdr:col>4</xdr:col>
                    <xdr:colOff>0</xdr:colOff>
                    <xdr:row>33</xdr:row>
                    <xdr:rowOff>228600</xdr:rowOff>
                  </to>
                </anchor>
              </controlPr>
            </control>
          </mc:Choice>
        </mc:AlternateContent>
        <mc:AlternateContent xmlns:mc="http://schemas.openxmlformats.org/markup-compatibility/2006">
          <mc:Choice Requires="x14">
            <control shapeId="7184" r:id="rId6" name="Scroll Bar 16">
              <controlPr locked="0" defaultSize="0" print="0" autoPict="0">
                <anchor>
                  <from>
                    <xdr:col>3</xdr:col>
                    <xdr:colOff>0</xdr:colOff>
                    <xdr:row>33</xdr:row>
                    <xdr:rowOff>228600</xdr:rowOff>
                  </from>
                  <to>
                    <xdr:col>4</xdr:col>
                    <xdr:colOff>0</xdr:colOff>
                    <xdr:row>34</xdr:row>
                    <xdr:rowOff>228600</xdr:rowOff>
                  </to>
                </anchor>
              </controlPr>
            </control>
          </mc:Choice>
        </mc:AlternateContent>
        <mc:AlternateContent xmlns:mc="http://schemas.openxmlformats.org/markup-compatibility/2006">
          <mc:Choice Requires="x14">
            <control shapeId="7185" r:id="rId7" name="Scroll Bar 17">
              <controlPr locked="0" defaultSize="0" print="0" autoPict="0">
                <anchor>
                  <from>
                    <xdr:col>3</xdr:col>
                    <xdr:colOff>0</xdr:colOff>
                    <xdr:row>34</xdr:row>
                    <xdr:rowOff>228600</xdr:rowOff>
                  </from>
                  <to>
                    <xdr:col>4</xdr:col>
                    <xdr:colOff>0</xdr:colOff>
                    <xdr:row>35</xdr:row>
                    <xdr:rowOff>228600</xdr:rowOff>
                  </to>
                </anchor>
              </controlPr>
            </control>
          </mc:Choice>
        </mc:AlternateContent>
        <mc:AlternateContent xmlns:mc="http://schemas.openxmlformats.org/markup-compatibility/2006">
          <mc:Choice Requires="x14">
            <control shapeId="7193" r:id="rId8" name="Scroll Bar 25">
              <controlPr locked="0" defaultSize="0" print="0" autoPict="0">
                <anchor>
                  <from>
                    <xdr:col>3</xdr:col>
                    <xdr:colOff>0</xdr:colOff>
                    <xdr:row>48</xdr:row>
                    <xdr:rowOff>219075</xdr:rowOff>
                  </from>
                  <to>
                    <xdr:col>4</xdr:col>
                    <xdr:colOff>0</xdr:colOff>
                    <xdr:row>49</xdr:row>
                    <xdr:rowOff>219075</xdr:rowOff>
                  </to>
                </anchor>
              </controlPr>
            </control>
          </mc:Choice>
        </mc:AlternateContent>
        <mc:AlternateContent xmlns:mc="http://schemas.openxmlformats.org/markup-compatibility/2006">
          <mc:Choice Requires="x14">
            <control shapeId="7194" r:id="rId9" name="Scroll Bar 26">
              <controlPr locked="0" defaultSize="0" print="0" autoPict="0">
                <anchor>
                  <from>
                    <xdr:col>3</xdr:col>
                    <xdr:colOff>0</xdr:colOff>
                    <xdr:row>49</xdr:row>
                    <xdr:rowOff>219075</xdr:rowOff>
                  </from>
                  <to>
                    <xdr:col>4</xdr:col>
                    <xdr:colOff>0</xdr:colOff>
                    <xdr:row>50</xdr:row>
                    <xdr:rowOff>219075</xdr:rowOff>
                  </to>
                </anchor>
              </controlPr>
            </control>
          </mc:Choice>
        </mc:AlternateContent>
        <mc:AlternateContent xmlns:mc="http://schemas.openxmlformats.org/markup-compatibility/2006">
          <mc:Choice Requires="x14">
            <control shapeId="7196" r:id="rId10" name="Scroll Bar 28">
              <controlPr locked="0" defaultSize="0" print="0" autoPict="0">
                <anchor>
                  <from>
                    <xdr:col>3</xdr:col>
                    <xdr:colOff>0</xdr:colOff>
                    <xdr:row>50</xdr:row>
                    <xdr:rowOff>219075</xdr:rowOff>
                  </from>
                  <to>
                    <xdr:col>4</xdr:col>
                    <xdr:colOff>0</xdr:colOff>
                    <xdr:row>51</xdr:row>
                    <xdr:rowOff>219075</xdr:rowOff>
                  </to>
                </anchor>
              </controlPr>
            </control>
          </mc:Choice>
        </mc:AlternateContent>
        <mc:AlternateContent xmlns:mc="http://schemas.openxmlformats.org/markup-compatibility/2006">
          <mc:Choice Requires="x14">
            <control shapeId="7197" r:id="rId11" name="Scroll Bar 29">
              <controlPr locked="0" defaultSize="0" print="0" autoPict="0">
                <anchor>
                  <from>
                    <xdr:col>3</xdr:col>
                    <xdr:colOff>0</xdr:colOff>
                    <xdr:row>53</xdr:row>
                    <xdr:rowOff>152400</xdr:rowOff>
                  </from>
                  <to>
                    <xdr:col>4</xdr:col>
                    <xdr:colOff>0</xdr:colOff>
                    <xdr:row>54</xdr:row>
                    <xdr:rowOff>200025</xdr:rowOff>
                  </to>
                </anchor>
              </controlPr>
            </control>
          </mc:Choice>
        </mc:AlternateContent>
        <mc:AlternateContent xmlns:mc="http://schemas.openxmlformats.org/markup-compatibility/2006">
          <mc:Choice Requires="x14">
            <control shapeId="7198" r:id="rId12" name="Scroll Bar 30">
              <controlPr locked="0" defaultSize="0" print="0" autoPict="0">
                <anchor>
                  <from>
                    <xdr:col>3</xdr:col>
                    <xdr:colOff>0</xdr:colOff>
                    <xdr:row>54</xdr:row>
                    <xdr:rowOff>209550</xdr:rowOff>
                  </from>
                  <to>
                    <xdr:col>4</xdr:col>
                    <xdr:colOff>0</xdr:colOff>
                    <xdr:row>55</xdr:row>
                    <xdr:rowOff>209550</xdr:rowOff>
                  </to>
                </anchor>
              </controlPr>
            </control>
          </mc:Choice>
        </mc:AlternateContent>
        <mc:AlternateContent xmlns:mc="http://schemas.openxmlformats.org/markup-compatibility/2006">
          <mc:Choice Requires="x14">
            <control shapeId="7199" r:id="rId13" name="Scroll Bar 31">
              <controlPr locked="0" defaultSize="0" print="0" autoPict="0">
                <anchor>
                  <from>
                    <xdr:col>3</xdr:col>
                    <xdr:colOff>0</xdr:colOff>
                    <xdr:row>55</xdr:row>
                    <xdr:rowOff>219075</xdr:rowOff>
                  </from>
                  <to>
                    <xdr:col>4</xdr:col>
                    <xdr:colOff>0</xdr:colOff>
                    <xdr:row>56</xdr:row>
                    <xdr:rowOff>219075</xdr:rowOff>
                  </to>
                </anchor>
              </controlPr>
            </control>
          </mc:Choice>
        </mc:AlternateContent>
        <mc:AlternateContent xmlns:mc="http://schemas.openxmlformats.org/markup-compatibility/2006">
          <mc:Choice Requires="x14">
            <control shapeId="7200" r:id="rId14" name="Scroll Bar 32">
              <controlPr locked="0" defaultSize="0" print="0" autoPict="0">
                <anchor>
                  <from>
                    <xdr:col>3</xdr:col>
                    <xdr:colOff>0</xdr:colOff>
                    <xdr:row>56</xdr:row>
                    <xdr:rowOff>219075</xdr:rowOff>
                  </from>
                  <to>
                    <xdr:col>4</xdr:col>
                    <xdr:colOff>0</xdr:colOff>
                    <xdr:row>57</xdr:row>
                    <xdr:rowOff>219075</xdr:rowOff>
                  </to>
                </anchor>
              </controlPr>
            </control>
          </mc:Choice>
        </mc:AlternateContent>
        <mc:AlternateContent xmlns:mc="http://schemas.openxmlformats.org/markup-compatibility/2006">
          <mc:Choice Requires="x14">
            <control shapeId="7204" r:id="rId15" name="Scroll Bar 36">
              <controlPr locked="0" defaultSize="0" print="0" autoPict="0">
                <anchor>
                  <from>
                    <xdr:col>3</xdr:col>
                    <xdr:colOff>0</xdr:colOff>
                    <xdr:row>35</xdr:row>
                    <xdr:rowOff>228600</xdr:rowOff>
                  </from>
                  <to>
                    <xdr:col>4</xdr:col>
                    <xdr:colOff>0</xdr:colOff>
                    <xdr:row>36</xdr:row>
                    <xdr:rowOff>228600</xdr:rowOff>
                  </to>
                </anchor>
              </controlPr>
            </control>
          </mc:Choice>
        </mc:AlternateContent>
        <mc:AlternateContent xmlns:mc="http://schemas.openxmlformats.org/markup-compatibility/2006">
          <mc:Choice Requires="x14">
            <control shapeId="7205" r:id="rId16" name="Scroll Bar 37">
              <controlPr locked="0" defaultSize="0" print="0" autoPict="0">
                <anchor>
                  <from>
                    <xdr:col>3</xdr:col>
                    <xdr:colOff>0</xdr:colOff>
                    <xdr:row>36</xdr:row>
                    <xdr:rowOff>228600</xdr:rowOff>
                  </from>
                  <to>
                    <xdr:col>4</xdr:col>
                    <xdr:colOff>0</xdr:colOff>
                    <xdr:row>37</xdr:row>
                    <xdr:rowOff>228600</xdr:rowOff>
                  </to>
                </anchor>
              </controlPr>
            </control>
          </mc:Choice>
        </mc:AlternateContent>
        <mc:AlternateContent xmlns:mc="http://schemas.openxmlformats.org/markup-compatibility/2006">
          <mc:Choice Requires="x14">
            <control shapeId="7206" r:id="rId17" name="Scroll Bar 38">
              <controlPr locked="0" defaultSize="0" print="0" autoPict="0">
                <anchor>
                  <from>
                    <xdr:col>3</xdr:col>
                    <xdr:colOff>0</xdr:colOff>
                    <xdr:row>37</xdr:row>
                    <xdr:rowOff>228600</xdr:rowOff>
                  </from>
                  <to>
                    <xdr:col>4</xdr:col>
                    <xdr:colOff>0</xdr:colOff>
                    <xdr:row>38</xdr:row>
                    <xdr:rowOff>228600</xdr:rowOff>
                  </to>
                </anchor>
              </controlPr>
            </control>
          </mc:Choice>
        </mc:AlternateContent>
        <mc:AlternateContent xmlns:mc="http://schemas.openxmlformats.org/markup-compatibility/2006">
          <mc:Choice Requires="x14">
            <control shapeId="7207" r:id="rId18" name="Scroll Bar 39">
              <controlPr locked="0" defaultSize="0" print="0" autoPict="0">
                <anchor>
                  <from>
                    <xdr:col>3</xdr:col>
                    <xdr:colOff>0</xdr:colOff>
                    <xdr:row>38</xdr:row>
                    <xdr:rowOff>228600</xdr:rowOff>
                  </from>
                  <to>
                    <xdr:col>4</xdr:col>
                    <xdr:colOff>0</xdr:colOff>
                    <xdr:row>39</xdr:row>
                    <xdr:rowOff>228600</xdr:rowOff>
                  </to>
                </anchor>
              </controlPr>
            </control>
          </mc:Choice>
        </mc:AlternateContent>
        <mc:AlternateContent xmlns:mc="http://schemas.openxmlformats.org/markup-compatibility/2006">
          <mc:Choice Requires="x14">
            <control shapeId="7220" r:id="rId19" name="Scroll Bar 52">
              <controlPr locked="0" defaultSize="0" print="0" autoPict="0">
                <anchor>
                  <from>
                    <xdr:col>3</xdr:col>
                    <xdr:colOff>0</xdr:colOff>
                    <xdr:row>47</xdr:row>
                    <xdr:rowOff>161925</xdr:rowOff>
                  </from>
                  <to>
                    <xdr:col>4</xdr:col>
                    <xdr:colOff>0</xdr:colOff>
                    <xdr:row>48</xdr:row>
                    <xdr:rowOff>209550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ACCFC9FE-3560-442B-BC97-EE1E74B38BB7}">
            <xm:f>Tabelle2!$B$1&gt;=Tabelle2!$B$2</xm:f>
            <x14:dxf>
              <fill>
                <patternFill>
                  <bgColor theme="1"/>
                </patternFill>
              </fill>
            </x14:dxf>
          </x14:cfRule>
          <xm:sqref>A2:J2 A3:D3 G3:H3 A4:J32 A35:J59 A33:D34 F33:J34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zoomScaleNormal="100" workbookViewId="0"/>
  </sheetViews>
  <sheetFormatPr baseColWidth="10" defaultColWidth="11" defaultRowHeight="14.25" x14ac:dyDescent="0.2"/>
  <cols>
    <col min="1" max="1" width="1.625" style="2" customWidth="1"/>
    <col min="2" max="2" width="5.625" style="2" customWidth="1"/>
    <col min="3" max="3" width="10.375" style="2" customWidth="1"/>
    <col min="4" max="4" width="11.375" style="2" customWidth="1"/>
    <col min="5" max="5" width="13.125" style="2" customWidth="1"/>
    <col min="6" max="10" width="12.125" style="2" customWidth="1"/>
    <col min="11" max="11" width="1.625" style="2" customWidth="1"/>
    <col min="12" max="16384" width="11" style="2"/>
  </cols>
  <sheetData>
    <row r="1" spans="1:15" x14ac:dyDescent="0.2">
      <c r="A1" s="335"/>
    </row>
    <row r="2" spans="1:15" ht="18.75" customHeight="1" x14ac:dyDescent="0.2">
      <c r="A2" s="300"/>
      <c r="B2" s="2" t="s">
        <v>227</v>
      </c>
      <c r="D2" s="654">
        <f>'Kapazitäten flüssig'!D3</f>
        <v>0</v>
      </c>
      <c r="E2" s="654"/>
      <c r="F2" s="654"/>
      <c r="G2" s="2" t="s">
        <v>226</v>
      </c>
      <c r="H2" s="654">
        <f>'Kapazitäten flüssig'!H3</f>
        <v>0</v>
      </c>
      <c r="I2" s="654"/>
      <c r="J2" s="654"/>
    </row>
    <row r="3" spans="1:15" x14ac:dyDescent="0.2">
      <c r="A3" s="300"/>
    </row>
    <row r="4" spans="1:15" ht="21" customHeight="1" x14ac:dyDescent="0.2">
      <c r="B4" s="28" t="s">
        <v>30</v>
      </c>
      <c r="I4" s="117"/>
    </row>
    <row r="5" spans="1:15" ht="21" customHeight="1" x14ac:dyDescent="0.2">
      <c r="B5" s="12"/>
      <c r="C5" s="12"/>
      <c r="D5" s="12"/>
      <c r="E5" s="12"/>
    </row>
    <row r="6" spans="1:15" ht="18.75" customHeight="1" x14ac:dyDescent="0.2">
      <c r="B6" s="27" t="s">
        <v>45</v>
      </c>
      <c r="C6" s="60"/>
      <c r="D6" s="60"/>
      <c r="E6" s="61"/>
      <c r="F6" s="111" t="s">
        <v>17</v>
      </c>
      <c r="G6" s="111" t="s">
        <v>18</v>
      </c>
      <c r="H6" s="112" t="s">
        <v>54</v>
      </c>
      <c r="I6" s="113" t="s">
        <v>16</v>
      </c>
      <c r="J6" s="112" t="s">
        <v>11</v>
      </c>
      <c r="K6" s="45"/>
    </row>
    <row r="7" spans="1:15" x14ac:dyDescent="0.2">
      <c r="B7" s="57"/>
      <c r="C7" s="58"/>
      <c r="D7" s="58"/>
      <c r="E7" s="59"/>
      <c r="F7" s="33" t="s">
        <v>13</v>
      </c>
      <c r="G7" s="33" t="s">
        <v>13</v>
      </c>
      <c r="H7" s="32" t="s">
        <v>10</v>
      </c>
      <c r="I7" s="95" t="s">
        <v>13</v>
      </c>
      <c r="J7" s="32" t="s">
        <v>2</v>
      </c>
      <c r="K7" s="45"/>
    </row>
    <row r="8" spans="1:15" ht="18.75" customHeight="1" x14ac:dyDescent="0.2">
      <c r="B8" s="62"/>
      <c r="C8" s="673" t="s">
        <v>123</v>
      </c>
      <c r="D8" s="673"/>
      <c r="E8" s="674"/>
      <c r="F8" s="424"/>
      <c r="G8" s="424"/>
      <c r="H8" s="274">
        <f>F8*G8</f>
        <v>0</v>
      </c>
      <c r="I8" s="426"/>
      <c r="J8" s="273">
        <f t="shared" ref="J8:J13" si="0">F8*G8*I8</f>
        <v>0</v>
      </c>
      <c r="K8" s="45"/>
    </row>
    <row r="9" spans="1:15" ht="18.75" customHeight="1" x14ac:dyDescent="0.2">
      <c r="B9" s="63"/>
      <c r="C9" s="675" t="s">
        <v>124</v>
      </c>
      <c r="D9" s="675"/>
      <c r="E9" s="676"/>
      <c r="F9" s="424"/>
      <c r="G9" s="424"/>
      <c r="H9" s="274">
        <f t="shared" ref="H9:H13" si="1">F9*G9</f>
        <v>0</v>
      </c>
      <c r="I9" s="426"/>
      <c r="J9" s="274">
        <f t="shared" si="0"/>
        <v>0</v>
      </c>
      <c r="K9" s="45"/>
    </row>
    <row r="10" spans="1:15" ht="18.75" customHeight="1" x14ac:dyDescent="0.2">
      <c r="B10" s="63"/>
      <c r="C10" s="675" t="s">
        <v>125</v>
      </c>
      <c r="D10" s="675"/>
      <c r="E10" s="676"/>
      <c r="F10" s="424"/>
      <c r="G10" s="424"/>
      <c r="H10" s="274">
        <f t="shared" si="1"/>
        <v>0</v>
      </c>
      <c r="I10" s="426"/>
      <c r="J10" s="274">
        <f t="shared" si="0"/>
        <v>0</v>
      </c>
      <c r="K10" s="45"/>
    </row>
    <row r="11" spans="1:15" ht="18.75" customHeight="1" x14ac:dyDescent="0.2">
      <c r="B11" s="63"/>
      <c r="C11" s="675" t="s">
        <v>126</v>
      </c>
      <c r="D11" s="675"/>
      <c r="E11" s="676"/>
      <c r="F11" s="424"/>
      <c r="G11" s="424"/>
      <c r="H11" s="274">
        <f t="shared" si="1"/>
        <v>0</v>
      </c>
      <c r="I11" s="426"/>
      <c r="J11" s="274">
        <f t="shared" si="0"/>
        <v>0</v>
      </c>
      <c r="K11" s="45"/>
    </row>
    <row r="12" spans="1:15" ht="18.75" customHeight="1" x14ac:dyDescent="0.2">
      <c r="B12" s="63"/>
      <c r="C12" s="675" t="s">
        <v>127</v>
      </c>
      <c r="D12" s="675"/>
      <c r="E12" s="676"/>
      <c r="F12" s="424"/>
      <c r="G12" s="424"/>
      <c r="H12" s="274">
        <f t="shared" si="1"/>
        <v>0</v>
      </c>
      <c r="I12" s="426"/>
      <c r="J12" s="274">
        <f t="shared" si="0"/>
        <v>0</v>
      </c>
      <c r="K12" s="45"/>
    </row>
    <row r="13" spans="1:15" ht="18.75" customHeight="1" thickBot="1" x14ac:dyDescent="0.25">
      <c r="B13" s="108"/>
      <c r="C13" s="677" t="s">
        <v>128</v>
      </c>
      <c r="D13" s="677"/>
      <c r="E13" s="678"/>
      <c r="F13" s="424"/>
      <c r="G13" s="424"/>
      <c r="H13" s="275">
        <f t="shared" si="1"/>
        <v>0</v>
      </c>
      <c r="I13" s="427"/>
      <c r="J13" s="275">
        <f t="shared" si="0"/>
        <v>0</v>
      </c>
      <c r="K13" s="45"/>
    </row>
    <row r="14" spans="1:15" ht="18.75" customHeight="1" thickTop="1" thickBot="1" x14ac:dyDescent="0.25">
      <c r="B14" s="103" t="s">
        <v>46</v>
      </c>
      <c r="C14" s="109"/>
      <c r="D14" s="110"/>
      <c r="E14" s="109"/>
      <c r="F14" s="109"/>
      <c r="G14" s="109"/>
      <c r="H14" s="280">
        <f>SUM(H8:H13)</f>
        <v>0</v>
      </c>
      <c r="I14" s="281"/>
      <c r="J14" s="272">
        <f>SUM(J8:J13)</f>
        <v>0</v>
      </c>
      <c r="K14" s="45"/>
      <c r="N14" s="52"/>
      <c r="O14" s="52"/>
    </row>
    <row r="15" spans="1:15" ht="21" customHeight="1" thickTop="1" x14ac:dyDescent="0.2"/>
    <row r="16" spans="1:15" ht="21" customHeight="1" x14ac:dyDescent="0.2">
      <c r="B16" s="44" t="s">
        <v>21</v>
      </c>
      <c r="C16" s="25"/>
      <c r="D16" s="25"/>
      <c r="E16" s="25"/>
      <c r="F16" s="114" t="s">
        <v>23</v>
      </c>
      <c r="G16" s="26"/>
      <c r="H16" s="26"/>
      <c r="I16" s="26"/>
      <c r="J16" s="64" t="s">
        <v>2</v>
      </c>
    </row>
    <row r="17" spans="1:10" ht="21" customHeight="1" x14ac:dyDescent="0.2">
      <c r="B17" s="62" t="s">
        <v>235</v>
      </c>
      <c r="C17" s="23"/>
      <c r="D17" s="23"/>
      <c r="E17" s="23"/>
      <c r="F17" s="663"/>
      <c r="G17" s="664"/>
      <c r="H17" s="664"/>
      <c r="I17" s="665"/>
      <c r="J17" s="428">
        <v>0</v>
      </c>
    </row>
    <row r="18" spans="1:10" ht="21" customHeight="1" x14ac:dyDescent="0.2">
      <c r="B18" s="508" t="s">
        <v>236</v>
      </c>
      <c r="C18" s="6"/>
      <c r="D18" s="6"/>
      <c r="E18" s="6"/>
      <c r="F18" s="666"/>
      <c r="G18" s="667"/>
      <c r="H18" s="667"/>
      <c r="I18" s="668"/>
      <c r="J18" s="429">
        <v>0</v>
      </c>
    </row>
    <row r="19" spans="1:10" ht="21" customHeight="1" thickBot="1" x14ac:dyDescent="0.25">
      <c r="B19" s="65"/>
      <c r="C19" s="65"/>
      <c r="D19" s="65"/>
      <c r="E19" s="65"/>
      <c r="F19" s="66"/>
      <c r="G19" s="66"/>
      <c r="H19" s="66"/>
      <c r="I19" s="66"/>
      <c r="J19" s="282"/>
    </row>
    <row r="20" spans="1:10" ht="21" customHeight="1" thickTop="1" thickBot="1" x14ac:dyDescent="0.25">
      <c r="B20" s="106" t="s">
        <v>47</v>
      </c>
      <c r="C20" s="105"/>
      <c r="D20" s="105"/>
      <c r="E20" s="105"/>
      <c r="F20" s="105"/>
      <c r="G20" s="105"/>
      <c r="H20" s="105"/>
      <c r="I20" s="105"/>
      <c r="J20" s="283">
        <f>J14+J17-J18</f>
        <v>0</v>
      </c>
    </row>
    <row r="21" spans="1:10" ht="21" customHeight="1" thickTop="1" x14ac:dyDescent="0.2">
      <c r="B21" s="67"/>
      <c r="C21" s="66"/>
      <c r="D21" s="66"/>
      <c r="E21" s="66"/>
      <c r="F21" s="66"/>
      <c r="G21" s="66"/>
      <c r="H21" s="66"/>
      <c r="I21" s="66"/>
      <c r="J21" s="68"/>
    </row>
    <row r="22" spans="1:10" x14ac:dyDescent="0.2">
      <c r="B22" s="69" t="s">
        <v>48</v>
      </c>
    </row>
    <row r="23" spans="1:10" x14ac:dyDescent="0.2">
      <c r="B23" s="2" t="s">
        <v>219</v>
      </c>
    </row>
    <row r="24" spans="1:10" x14ac:dyDescent="0.2">
      <c r="B24" s="2" t="s">
        <v>1439</v>
      </c>
    </row>
    <row r="25" spans="1:10" ht="9" customHeight="1" x14ac:dyDescent="0.2"/>
    <row r="26" spans="1:10" ht="21" customHeight="1" x14ac:dyDescent="0.2">
      <c r="A26" s="335"/>
    </row>
    <row r="27" spans="1:10" ht="21" customHeight="1" x14ac:dyDescent="0.2"/>
    <row r="28" spans="1:10" ht="21" customHeight="1" x14ac:dyDescent="0.2"/>
    <row r="29" spans="1:10" ht="21" customHeight="1" x14ac:dyDescent="0.2"/>
    <row r="30" spans="1:10" ht="21" customHeight="1" x14ac:dyDescent="0.2"/>
    <row r="31" spans="1:10" ht="21" customHeight="1" x14ac:dyDescent="0.2">
      <c r="B31" s="4"/>
    </row>
    <row r="32" spans="1:10" ht="21" customHeight="1" x14ac:dyDescent="0.2"/>
    <row r="33" ht="21" customHeight="1" x14ac:dyDescent="0.2"/>
    <row r="34" ht="21" customHeight="1" x14ac:dyDescent="0.2"/>
    <row r="35" ht="21" customHeight="1" x14ac:dyDescent="0.2"/>
  </sheetData>
  <sheetProtection password="DE9F" sheet="1" objects="1" scenarios="1"/>
  <mergeCells count="10">
    <mergeCell ref="D2:F2"/>
    <mergeCell ref="H2:J2"/>
    <mergeCell ref="F17:I17"/>
    <mergeCell ref="F18:I18"/>
    <mergeCell ref="C8:E8"/>
    <mergeCell ref="C9:E9"/>
    <mergeCell ref="C10:E10"/>
    <mergeCell ref="C11:E11"/>
    <mergeCell ref="C12:E12"/>
    <mergeCell ref="C13:E13"/>
  </mergeCells>
  <printOptions horizontalCentered="1"/>
  <pageMargins left="0.59055118110236227" right="0.59055118110236227" top="0.59055118110236227" bottom="0.59055118110236227" header="0.31496062992125984" footer="0.39370078740157483"/>
  <pageSetup paperSize="9" scale="79" orientation="portrait" r:id="rId1"/>
  <headerFooter>
    <oddFooter>&amp;L&amp;8LEL Schwäbisch Gmünd, Ref. 31;
Dr. Hansjörg Nußbaum, LAZBW Aulendorf&amp;C&amp;8FRANSI
&amp;A&amp;R&amp;8Version 1.0
letzte Bearbeitung: &amp;D</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ADD08C2D-75A4-489B-B747-1BFF1379D212}">
            <xm:f>Tabelle2!$B$1&gt;=Tabelle2!$B$2</xm:f>
            <x14:dxf>
              <fill>
                <patternFill>
                  <bgColor theme="1"/>
                </patternFill>
              </fill>
            </x14:dxf>
          </x14:cfRule>
          <xm:sqref>B4:J24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9"/>
  <sheetViews>
    <sheetView showGridLines="0" zoomScaleNormal="100" workbookViewId="0">
      <pane ySplit="2" topLeftCell="A3" activePane="bottomLeft" state="frozen"/>
      <selection pane="bottomLeft" activeCell="A3" sqref="A3"/>
    </sheetView>
  </sheetViews>
  <sheetFormatPr baseColWidth="10" defaultColWidth="11" defaultRowHeight="14.25" x14ac:dyDescent="0.2"/>
  <cols>
    <col min="1" max="1" width="1.625" style="2" customWidth="1"/>
    <col min="2" max="3" width="2.625" style="2" customWidth="1"/>
    <col min="4" max="4" width="25.625" style="2" customWidth="1"/>
    <col min="5" max="12" width="13.625" style="2" customWidth="1"/>
    <col min="13" max="13" width="5.5" style="2" customWidth="1"/>
    <col min="14" max="14" width="7.875" style="2" hidden="1" customWidth="1"/>
    <col min="15" max="15" width="11.75" style="2" hidden="1" customWidth="1"/>
    <col min="16" max="16" width="3.375" style="2" hidden="1" customWidth="1"/>
    <col min="17" max="20" width="11" style="2" hidden="1" customWidth="1"/>
    <col min="21" max="16384" width="11" style="2"/>
  </cols>
  <sheetData>
    <row r="1" spans="1:19" ht="21.75" customHeight="1" x14ac:dyDescent="0.2">
      <c r="A1" s="147"/>
      <c r="B1" s="148" t="str">
        <f>IF(N14&gt;0,"Bitte geben Sie in Zeile "&amp;N14&amp;" die Anzahl der Silos an!",IF(O14&gt;0,"Bitte wählen Sie in Zeile "&amp;O14&amp;" die Art der Zuleitung aus!",""))</f>
        <v/>
      </c>
      <c r="C1" s="147"/>
      <c r="D1" s="147"/>
      <c r="E1" s="147"/>
      <c r="F1" s="147"/>
      <c r="G1" s="147"/>
      <c r="H1" s="147"/>
      <c r="I1" s="147"/>
      <c r="J1" s="147"/>
      <c r="K1" s="147"/>
      <c r="L1" s="188"/>
    </row>
    <row r="2" spans="1:19" ht="6.75" customHeight="1" x14ac:dyDescent="0.2"/>
    <row r="3" spans="1:19" ht="27" customHeight="1" x14ac:dyDescent="0.4">
      <c r="A3" s="335"/>
      <c r="E3" s="214" t="s">
        <v>33</v>
      </c>
    </row>
    <row r="4" spans="1:19" ht="21" customHeight="1" x14ac:dyDescent="0.2"/>
    <row r="5" spans="1:19" ht="21" customHeight="1" x14ac:dyDescent="0.2">
      <c r="B5" s="2" t="s">
        <v>227</v>
      </c>
      <c r="E5" s="654">
        <f>'Kapazitäten flüssig'!D3</f>
        <v>0</v>
      </c>
      <c r="F5" s="654"/>
      <c r="G5" s="654"/>
      <c r="H5" s="93" t="s">
        <v>226</v>
      </c>
      <c r="I5" s="654">
        <f>'Kapazitäten flüssig'!H3</f>
        <v>0</v>
      </c>
      <c r="J5" s="654"/>
      <c r="K5" s="654"/>
      <c r="L5" s="654"/>
    </row>
    <row r="6" spans="1:19" ht="21" customHeight="1" thickBot="1" x14ac:dyDescent="0.25"/>
    <row r="7" spans="1:19" ht="21" customHeight="1" x14ac:dyDescent="0.2">
      <c r="B7" s="211" t="s">
        <v>154</v>
      </c>
      <c r="C7" s="149"/>
      <c r="D7" s="41"/>
      <c r="E7" s="712" t="s">
        <v>143</v>
      </c>
      <c r="F7" s="713"/>
      <c r="G7" s="714"/>
      <c r="H7" s="679" t="s">
        <v>5</v>
      </c>
      <c r="I7" s="680"/>
      <c r="J7" s="88" t="s">
        <v>69</v>
      </c>
      <c r="K7" s="710" t="s">
        <v>229</v>
      </c>
      <c r="L7" s="711"/>
      <c r="N7" s="93" t="s">
        <v>70</v>
      </c>
      <c r="O7" s="7">
        <f>PI()</f>
        <v>3.1415926535897931</v>
      </c>
      <c r="Q7" s="47">
        <v>1</v>
      </c>
      <c r="R7" s="8" t="s">
        <v>57</v>
      </c>
      <c r="S7" s="48">
        <v>3</v>
      </c>
    </row>
    <row r="8" spans="1:19" ht="21" customHeight="1" x14ac:dyDescent="0.2">
      <c r="B8" s="213" t="s">
        <v>155</v>
      </c>
      <c r="C8" s="150"/>
      <c r="D8" s="83"/>
      <c r="E8" s="715"/>
      <c r="F8" s="716"/>
      <c r="G8" s="717"/>
      <c r="H8" s="183"/>
      <c r="I8" s="184"/>
      <c r="J8" s="186"/>
      <c r="K8" s="185"/>
      <c r="L8" s="477"/>
      <c r="Q8" s="49">
        <v>2</v>
      </c>
      <c r="R8" s="9" t="s">
        <v>58</v>
      </c>
      <c r="S8" s="50">
        <v>6</v>
      </c>
    </row>
    <row r="9" spans="1:19" ht="21" customHeight="1" x14ac:dyDescent="0.2">
      <c r="B9" s="86"/>
      <c r="C9" s="150"/>
      <c r="D9" s="83"/>
      <c r="E9" s="715"/>
      <c r="F9" s="716"/>
      <c r="G9" s="717"/>
      <c r="H9" s="19"/>
      <c r="I9" s="478" t="s">
        <v>6</v>
      </c>
      <c r="J9" s="154" t="s">
        <v>7</v>
      </c>
      <c r="K9" s="155" t="s">
        <v>6</v>
      </c>
      <c r="L9" s="160" t="s">
        <v>8</v>
      </c>
      <c r="Q9" s="5">
        <v>3</v>
      </c>
      <c r="R9" s="78"/>
      <c r="S9" s="79"/>
    </row>
    <row r="10" spans="1:19" ht="24" customHeight="1" thickBot="1" x14ac:dyDescent="0.25">
      <c r="B10" s="87"/>
      <c r="C10" s="151"/>
      <c r="D10" s="84"/>
      <c r="E10" s="718"/>
      <c r="F10" s="719"/>
      <c r="G10" s="720"/>
      <c r="H10" s="181" t="s">
        <v>1394</v>
      </c>
      <c r="I10" s="536"/>
      <c r="J10" s="468">
        <v>15</v>
      </c>
      <c r="K10" s="210">
        <f>I10*((100-J10)/100)/12</f>
        <v>0</v>
      </c>
      <c r="L10" s="182">
        <f>K10/1000</f>
        <v>0</v>
      </c>
    </row>
    <row r="11" spans="1:19" ht="21" customHeight="1" thickBot="1" x14ac:dyDescent="0.25"/>
    <row r="12" spans="1:19" ht="21" customHeight="1" x14ac:dyDescent="0.2">
      <c r="B12" s="212" t="s">
        <v>52</v>
      </c>
      <c r="C12" s="149"/>
      <c r="D12" s="41"/>
      <c r="E12" s="91" t="s">
        <v>3</v>
      </c>
      <c r="F12" s="91" t="s">
        <v>17</v>
      </c>
      <c r="G12" s="85" t="s">
        <v>12</v>
      </c>
      <c r="H12" s="119" t="s">
        <v>16</v>
      </c>
      <c r="I12" s="91" t="s">
        <v>50</v>
      </c>
      <c r="J12" s="120" t="s">
        <v>56</v>
      </c>
      <c r="K12" s="690" t="s">
        <v>9</v>
      </c>
      <c r="L12" s="691"/>
      <c r="M12" s="72"/>
    </row>
    <row r="13" spans="1:19" ht="21" customHeight="1" x14ac:dyDescent="0.2">
      <c r="B13" s="86"/>
      <c r="C13" s="150"/>
      <c r="D13" s="83"/>
      <c r="E13" s="97"/>
      <c r="F13" s="97"/>
      <c r="G13" s="89"/>
      <c r="H13" s="153"/>
      <c r="I13" s="97"/>
      <c r="J13" s="122"/>
      <c r="K13" s="122" t="s">
        <v>97</v>
      </c>
      <c r="L13" s="77" t="s">
        <v>133</v>
      </c>
      <c r="M13" s="72"/>
      <c r="N13" s="93"/>
      <c r="O13" s="9"/>
    </row>
    <row r="14" spans="1:19" ht="21" customHeight="1" x14ac:dyDescent="0.2">
      <c r="B14" s="157" t="s">
        <v>139</v>
      </c>
      <c r="C14" s="158"/>
      <c r="D14" s="159"/>
      <c r="E14" s="154"/>
      <c r="F14" s="154" t="s">
        <v>13</v>
      </c>
      <c r="G14" s="155" t="s">
        <v>13</v>
      </c>
      <c r="H14" s="155" t="s">
        <v>13</v>
      </c>
      <c r="I14" s="154" t="s">
        <v>7</v>
      </c>
      <c r="J14" s="155"/>
      <c r="K14" s="154" t="s">
        <v>2</v>
      </c>
      <c r="L14" s="160" t="s">
        <v>2</v>
      </c>
      <c r="M14" s="73"/>
      <c r="N14" s="7">
        <f>MAX(N15:N25)</f>
        <v>0</v>
      </c>
      <c r="O14" s="7">
        <f>MAX(O15:O52)</f>
        <v>0</v>
      </c>
    </row>
    <row r="15" spans="1:19" ht="21" customHeight="1" x14ac:dyDescent="0.2">
      <c r="B15" s="681" t="s">
        <v>19</v>
      </c>
      <c r="C15" s="684" t="s">
        <v>134</v>
      </c>
      <c r="D15" s="396" t="s">
        <v>135</v>
      </c>
      <c r="E15" s="397"/>
      <c r="F15" s="90"/>
      <c r="G15" s="402"/>
      <c r="H15" s="403"/>
      <c r="I15" s="92"/>
      <c r="J15" s="408"/>
      <c r="K15" s="277">
        <f>L15*E15</f>
        <v>0</v>
      </c>
      <c r="L15" s="284">
        <f>G15*G15/4*$O$7*H15</f>
        <v>0</v>
      </c>
      <c r="M15" s="70"/>
      <c r="N15" s="10">
        <f>IF(AND(SUM(G15:H15)&gt;0,E15=""),15,0)</f>
        <v>0</v>
      </c>
      <c r="O15" s="10">
        <f>IF(AND(SUM(G15:H15)&gt;0,J15=""),15,0)</f>
        <v>0</v>
      </c>
      <c r="Q15" s="176">
        <f>L15</f>
        <v>0</v>
      </c>
      <c r="R15" s="48">
        <f>J15</f>
        <v>0</v>
      </c>
    </row>
    <row r="16" spans="1:19" ht="21" customHeight="1" x14ac:dyDescent="0.2">
      <c r="B16" s="682"/>
      <c r="C16" s="685"/>
      <c r="D16" s="398" t="s">
        <v>136</v>
      </c>
      <c r="E16" s="399"/>
      <c r="F16" s="90"/>
      <c r="G16" s="404"/>
      <c r="H16" s="405"/>
      <c r="I16" s="92"/>
      <c r="J16" s="409"/>
      <c r="K16" s="278">
        <f t="shared" ref="K16:K18" si="0">L16*E16</f>
        <v>0</v>
      </c>
      <c r="L16" s="285">
        <f>G16*G16/4*$O$7*H16</f>
        <v>0</v>
      </c>
      <c r="M16" s="70"/>
      <c r="N16" s="43">
        <f>IF(AND(SUM(G16:H16)&gt;0,E16=""),16,0)</f>
        <v>0</v>
      </c>
      <c r="O16" s="43">
        <f>IF(AND(SUM(G16:H16)&gt;0,J16=""),16,0)</f>
        <v>0</v>
      </c>
      <c r="Q16" s="177">
        <f>L16</f>
        <v>0</v>
      </c>
      <c r="R16" s="50">
        <f>J16</f>
        <v>0</v>
      </c>
    </row>
    <row r="17" spans="2:20" ht="21" customHeight="1" x14ac:dyDescent="0.2">
      <c r="B17" s="682"/>
      <c r="C17" s="685"/>
      <c r="D17" s="398" t="s">
        <v>137</v>
      </c>
      <c r="E17" s="399"/>
      <c r="F17" s="90"/>
      <c r="G17" s="404"/>
      <c r="H17" s="405"/>
      <c r="I17" s="92"/>
      <c r="J17" s="409"/>
      <c r="K17" s="278">
        <f t="shared" si="0"/>
        <v>0</v>
      </c>
      <c r="L17" s="285">
        <f>G17*G17/4*$O$7*H17</f>
        <v>0</v>
      </c>
      <c r="M17" s="70"/>
      <c r="N17" s="43">
        <f>IF(AND(SUM(G17:H17)&gt;0,E17=""),17,0)</f>
        <v>0</v>
      </c>
      <c r="O17" s="43">
        <f>IF(AND(SUM(G17:H17)&gt;0,J17=""),17,0)</f>
        <v>0</v>
      </c>
      <c r="Q17" s="177">
        <f>L17</f>
        <v>0</v>
      </c>
      <c r="R17" s="50">
        <f>J17</f>
        <v>0</v>
      </c>
    </row>
    <row r="18" spans="2:20" ht="21" customHeight="1" x14ac:dyDescent="0.2">
      <c r="B18" s="683"/>
      <c r="C18" s="686"/>
      <c r="D18" s="400" t="s">
        <v>138</v>
      </c>
      <c r="E18" s="401"/>
      <c r="F18" s="90"/>
      <c r="G18" s="406"/>
      <c r="H18" s="407"/>
      <c r="I18" s="92"/>
      <c r="J18" s="410"/>
      <c r="K18" s="286">
        <f t="shared" si="0"/>
        <v>0</v>
      </c>
      <c r="L18" s="287">
        <f>G18*G18/4*$O$7*H18</f>
        <v>0</v>
      </c>
      <c r="M18" s="70"/>
      <c r="N18" s="43">
        <f>IF(AND(SUM(G18:H18)&gt;0,E18=""),18,0)</f>
        <v>0</v>
      </c>
      <c r="O18" s="43">
        <f>IF(AND(SUM(G18:H18)&gt;0,J18=""),18,0)</f>
        <v>0</v>
      </c>
      <c r="Q18" s="177">
        <f>L18</f>
        <v>0</v>
      </c>
      <c r="R18" s="50">
        <f>J18</f>
        <v>0</v>
      </c>
    </row>
    <row r="19" spans="2:20" ht="21" customHeight="1" x14ac:dyDescent="0.2">
      <c r="B19" s="699" t="s">
        <v>193</v>
      </c>
      <c r="C19" s="707" t="s">
        <v>194</v>
      </c>
      <c r="D19" s="170"/>
      <c r="E19" s="171"/>
      <c r="F19" s="172" t="s">
        <v>17</v>
      </c>
      <c r="G19" s="173" t="s">
        <v>18</v>
      </c>
      <c r="H19" s="174" t="s">
        <v>16</v>
      </c>
      <c r="I19" s="174" t="s">
        <v>144</v>
      </c>
      <c r="J19" s="175"/>
      <c r="K19" s="288"/>
      <c r="L19" s="289"/>
      <c r="M19" s="70"/>
      <c r="N19" s="43"/>
      <c r="O19" s="43"/>
      <c r="Q19" s="177"/>
      <c r="R19" s="50"/>
    </row>
    <row r="20" spans="2:20" ht="21" customHeight="1" x14ac:dyDescent="0.2">
      <c r="B20" s="687"/>
      <c r="C20" s="708"/>
      <c r="D20" s="504">
        <v>1</v>
      </c>
      <c r="E20" s="399"/>
      <c r="F20" s="404"/>
      <c r="G20" s="405"/>
      <c r="H20" s="405"/>
      <c r="I20" s="389"/>
      <c r="J20" s="409"/>
      <c r="K20" s="278">
        <f>L20*E20</f>
        <v>0</v>
      </c>
      <c r="L20" s="285">
        <f>(F20*G20*H20)+(F20*G20*H20)*I20%</f>
        <v>0</v>
      </c>
      <c r="M20" s="70"/>
      <c r="N20" s="43">
        <f>IF(AND(SUM(F20:H20)&gt;0,E20=""),20,0)</f>
        <v>0</v>
      </c>
      <c r="O20" s="43">
        <f>IF(AND(SUM(F20:H20)&gt;0,J20=""),20,0)</f>
        <v>0</v>
      </c>
      <c r="Q20" s="177">
        <f t="shared" ref="Q20:Q25" si="1">L20</f>
        <v>0</v>
      </c>
      <c r="R20" s="50">
        <f t="shared" ref="R20:R25" si="2">J20</f>
        <v>0</v>
      </c>
    </row>
    <row r="21" spans="2:20" ht="21" customHeight="1" x14ac:dyDescent="0.2">
      <c r="B21" s="687"/>
      <c r="C21" s="708"/>
      <c r="D21" s="504">
        <v>2</v>
      </c>
      <c r="E21" s="399"/>
      <c r="F21" s="404"/>
      <c r="G21" s="405"/>
      <c r="H21" s="405"/>
      <c r="I21" s="389"/>
      <c r="J21" s="409"/>
      <c r="K21" s="278">
        <f>L21*E21</f>
        <v>0</v>
      </c>
      <c r="L21" s="285">
        <f>(F21*G21*H21)+(F21*G21*H21)*I21%</f>
        <v>0</v>
      </c>
      <c r="M21" s="70"/>
      <c r="N21" s="43">
        <f>IF(AND(SUM(F21:H21)&gt;0,E21=""),21,0)</f>
        <v>0</v>
      </c>
      <c r="O21" s="43">
        <f>IF(AND(SUM(F21:H21)&gt;0,J21=""),21,0)</f>
        <v>0</v>
      </c>
      <c r="Q21" s="177">
        <f t="shared" si="1"/>
        <v>0</v>
      </c>
      <c r="R21" s="50">
        <f t="shared" si="2"/>
        <v>0</v>
      </c>
    </row>
    <row r="22" spans="2:20" ht="21" customHeight="1" x14ac:dyDescent="0.2">
      <c r="B22" s="687"/>
      <c r="C22" s="708"/>
      <c r="D22" s="504">
        <v>3</v>
      </c>
      <c r="E22" s="399"/>
      <c r="F22" s="404"/>
      <c r="G22" s="405"/>
      <c r="H22" s="405"/>
      <c r="I22" s="389"/>
      <c r="J22" s="409"/>
      <c r="K22" s="278">
        <f>L22*E22</f>
        <v>0</v>
      </c>
      <c r="L22" s="285">
        <f>(F22*G22*H22)+(F22*G22*H22)*I22%</f>
        <v>0</v>
      </c>
      <c r="M22" s="70"/>
      <c r="N22" s="43">
        <f>IF(AND(SUM(F22:H22)&gt;0,E22=""),22,0)</f>
        <v>0</v>
      </c>
      <c r="O22" s="43">
        <f>IF(AND(SUM(F22:H22)&gt;0,J22=""),22,0)</f>
        <v>0</v>
      </c>
      <c r="Q22" s="177">
        <f t="shared" si="1"/>
        <v>0</v>
      </c>
      <c r="R22" s="50">
        <f t="shared" si="2"/>
        <v>0</v>
      </c>
    </row>
    <row r="23" spans="2:20" ht="21" customHeight="1" x14ac:dyDescent="0.2">
      <c r="B23" s="687"/>
      <c r="C23" s="708"/>
      <c r="D23" s="505">
        <v>4</v>
      </c>
      <c r="E23" s="411"/>
      <c r="F23" s="412"/>
      <c r="G23" s="413"/>
      <c r="H23" s="413"/>
      <c r="I23" s="391"/>
      <c r="J23" s="414"/>
      <c r="K23" s="278">
        <f t="shared" ref="K23:K24" si="3">L23*E23</f>
        <v>0</v>
      </c>
      <c r="L23" s="285">
        <f t="shared" ref="L23:L24" si="4">(F23*G23*H23)+(F23*G23*H23)*I23%</f>
        <v>0</v>
      </c>
      <c r="M23" s="70"/>
      <c r="N23" s="43">
        <f>IF(AND(SUM(F23:H23)&gt;0,E23=""),23,0)</f>
        <v>0</v>
      </c>
      <c r="O23" s="43">
        <f>IF(AND(SUM(F23:H23)&gt;0,J23=""),23,0)</f>
        <v>0</v>
      </c>
      <c r="Q23" s="177">
        <f t="shared" si="1"/>
        <v>0</v>
      </c>
      <c r="R23" s="50">
        <f t="shared" si="2"/>
        <v>0</v>
      </c>
    </row>
    <row r="24" spans="2:20" ht="21" customHeight="1" x14ac:dyDescent="0.2">
      <c r="B24" s="687"/>
      <c r="C24" s="708"/>
      <c r="D24" s="505">
        <v>5</v>
      </c>
      <c r="E24" s="411"/>
      <c r="F24" s="412"/>
      <c r="G24" s="413"/>
      <c r="H24" s="413"/>
      <c r="I24" s="391"/>
      <c r="J24" s="414"/>
      <c r="K24" s="278">
        <f t="shared" si="3"/>
        <v>0</v>
      </c>
      <c r="L24" s="285">
        <f t="shared" si="4"/>
        <v>0</v>
      </c>
      <c r="M24" s="70"/>
      <c r="N24" s="43">
        <f>IF(AND(SUM(F24:H24)&gt;0,E24=""),24,0)</f>
        <v>0</v>
      </c>
      <c r="O24" s="43">
        <f>IF(AND(SUM(F24:H24)&gt;0,J24=""),24,0)</f>
        <v>0</v>
      </c>
      <c r="Q24" s="177">
        <f t="shared" si="1"/>
        <v>0</v>
      </c>
      <c r="R24" s="50">
        <f t="shared" si="2"/>
        <v>0</v>
      </c>
    </row>
    <row r="25" spans="2:20" ht="21" customHeight="1" x14ac:dyDescent="0.2">
      <c r="B25" s="703"/>
      <c r="C25" s="709"/>
      <c r="D25" s="505">
        <v>6</v>
      </c>
      <c r="E25" s="411"/>
      <c r="F25" s="412"/>
      <c r="G25" s="413"/>
      <c r="H25" s="413"/>
      <c r="I25" s="391"/>
      <c r="J25" s="414"/>
      <c r="K25" s="279">
        <f>L25*E25</f>
        <v>0</v>
      </c>
      <c r="L25" s="287">
        <f>(F25*G25*H25)+(F25*G25*H25)*I25%</f>
        <v>0</v>
      </c>
      <c r="M25" s="70"/>
      <c r="N25" s="11">
        <f>IF(AND(SUM(F25:H25)&gt;0,E25=""),25,0)</f>
        <v>0</v>
      </c>
      <c r="O25" s="11">
        <f>IF(AND(SUM(F25:H25)&gt;0,J25=""),25,0)</f>
        <v>0</v>
      </c>
      <c r="Q25" s="237">
        <f t="shared" si="1"/>
        <v>0</v>
      </c>
      <c r="R25" s="51">
        <f t="shared" si="2"/>
        <v>0</v>
      </c>
    </row>
    <row r="26" spans="2:20" ht="24" customHeight="1" thickBot="1" x14ac:dyDescent="0.25">
      <c r="B26" s="209" t="s">
        <v>51</v>
      </c>
      <c r="C26" s="189"/>
      <c r="D26" s="190"/>
      <c r="E26" s="191"/>
      <c r="F26" s="192"/>
      <c r="G26" s="192"/>
      <c r="H26" s="192"/>
      <c r="I26" s="192"/>
      <c r="J26" s="193"/>
      <c r="K26" s="290">
        <f>SUM(K15:K25)</f>
        <v>0</v>
      </c>
      <c r="L26" s="291">
        <f>MAX(L15:L25)</f>
        <v>0</v>
      </c>
      <c r="M26" s="71"/>
      <c r="Q26" s="566" t="s">
        <v>0</v>
      </c>
      <c r="R26" s="566" t="s">
        <v>57</v>
      </c>
    </row>
    <row r="27" spans="2:20" ht="24" customHeight="1" thickTop="1" thickBot="1" x14ac:dyDescent="0.25">
      <c r="B27" s="194" t="s">
        <v>140</v>
      </c>
      <c r="C27" s="208"/>
      <c r="D27" s="207"/>
      <c r="E27" s="195"/>
      <c r="F27" s="196"/>
      <c r="G27" s="196"/>
      <c r="H27" s="196"/>
      <c r="I27" s="196"/>
      <c r="J27" s="458"/>
      <c r="K27" s="292"/>
      <c r="L27" s="293">
        <f>L26*0.03</f>
        <v>0</v>
      </c>
      <c r="M27" s="71"/>
      <c r="N27" s="7">
        <f>IF(O27=R7,1,IF(O27=R8,2,0))</f>
        <v>0</v>
      </c>
      <c r="O27" s="7">
        <f>VLOOKUP(L26,Q15:R25,2,FALSE)</f>
        <v>0</v>
      </c>
      <c r="Q27" s="571">
        <f>IF(N27=2,L27,0)</f>
        <v>0</v>
      </c>
      <c r="R27" s="475">
        <f>IF(N27=1,L27,0)</f>
        <v>0</v>
      </c>
      <c r="S27" s="572"/>
    </row>
    <row r="28" spans="2:20" ht="21" customHeight="1" thickTop="1" thickBot="1" x14ac:dyDescent="0.25">
      <c r="R28" s="45"/>
      <c r="S28" s="459"/>
      <c r="T28" s="45"/>
    </row>
    <row r="29" spans="2:20" ht="21" customHeight="1" x14ac:dyDescent="0.2">
      <c r="B29" s="211" t="s">
        <v>49</v>
      </c>
      <c r="C29" s="149"/>
      <c r="D29" s="41"/>
      <c r="E29" s="119" t="s">
        <v>141</v>
      </c>
      <c r="F29" s="689" t="s">
        <v>54</v>
      </c>
      <c r="G29" s="690"/>
      <c r="H29" s="697"/>
      <c r="I29" s="689" t="s">
        <v>59</v>
      </c>
      <c r="J29" s="690"/>
      <c r="K29" s="690"/>
      <c r="L29" s="691"/>
      <c r="M29" s="76"/>
      <c r="R29" s="45"/>
      <c r="S29" s="459"/>
      <c r="T29" s="45"/>
    </row>
    <row r="30" spans="2:20" ht="21" customHeight="1" x14ac:dyDescent="0.2">
      <c r="B30" s="86"/>
      <c r="C30" s="150"/>
      <c r="D30" s="83"/>
      <c r="E30" s="121" t="s">
        <v>142</v>
      </c>
      <c r="F30" s="121" t="s">
        <v>97</v>
      </c>
      <c r="G30" s="692" t="s">
        <v>55</v>
      </c>
      <c r="H30" s="698"/>
      <c r="I30" s="692" t="s">
        <v>72</v>
      </c>
      <c r="J30" s="693"/>
      <c r="K30" s="693"/>
      <c r="L30" s="694"/>
      <c r="M30" s="76"/>
      <c r="R30" s="45"/>
      <c r="S30" s="459"/>
      <c r="T30" s="45"/>
    </row>
    <row r="31" spans="2:20" ht="21" customHeight="1" x14ac:dyDescent="0.2">
      <c r="B31" s="86"/>
      <c r="C31" s="150"/>
      <c r="D31" s="83"/>
      <c r="E31" s="121"/>
      <c r="F31" s="82"/>
      <c r="G31" s="82"/>
      <c r="H31" s="96"/>
      <c r="I31" s="692" t="s">
        <v>71</v>
      </c>
      <c r="J31" s="693"/>
      <c r="K31" s="693"/>
      <c r="L31" s="694"/>
      <c r="M31" s="73"/>
      <c r="R31" s="45"/>
      <c r="S31" s="459"/>
      <c r="T31" s="45"/>
    </row>
    <row r="32" spans="2:20" ht="21" customHeight="1" x14ac:dyDescent="0.2">
      <c r="B32" s="167" t="str">
        <f>B14</f>
        <v>Silotyp und -bezeichnung</v>
      </c>
      <c r="C32" s="168"/>
      <c r="D32" s="162"/>
      <c r="E32" s="163" t="s">
        <v>3</v>
      </c>
      <c r="F32" s="163" t="s">
        <v>10</v>
      </c>
      <c r="G32" s="164"/>
      <c r="H32" s="165" t="s">
        <v>10</v>
      </c>
      <c r="I32" s="695" t="s">
        <v>56</v>
      </c>
      <c r="J32" s="696"/>
      <c r="K32" s="164" t="s">
        <v>1</v>
      </c>
      <c r="L32" s="166" t="s">
        <v>2</v>
      </c>
      <c r="M32" s="73"/>
      <c r="N32" s="9"/>
      <c r="O32" s="66"/>
      <c r="P32" s="66"/>
      <c r="R32" s="45"/>
      <c r="S32" s="460" t="s">
        <v>0</v>
      </c>
      <c r="T32" s="567" t="s">
        <v>57</v>
      </c>
    </row>
    <row r="33" spans="2:22" ht="21" customHeight="1" x14ac:dyDescent="0.2">
      <c r="B33" s="687" t="s">
        <v>20</v>
      </c>
      <c r="C33" s="688"/>
      <c r="D33" s="94">
        <f>IF(D20="","",D20)</f>
        <v>1</v>
      </c>
      <c r="E33" s="415">
        <v>0</v>
      </c>
      <c r="F33" s="294">
        <f>F20*G20</f>
        <v>0</v>
      </c>
      <c r="G33" s="705" t="s">
        <v>146</v>
      </c>
      <c r="H33" s="295">
        <f>F33/2*E33</f>
        <v>0</v>
      </c>
      <c r="I33" s="705" t="s">
        <v>145</v>
      </c>
      <c r="J33" s="416"/>
      <c r="K33" s="200">
        <f t="shared" ref="K33:K38" si="5">IF(J33=$R$7,3,IF(J33=$R$8,6,0))</f>
        <v>0</v>
      </c>
      <c r="L33" s="297">
        <f>H33*K33*$L$10</f>
        <v>0</v>
      </c>
      <c r="O33" s="10">
        <f>IF(AND(E33&gt;0,J33=""),33,0)</f>
        <v>0</v>
      </c>
      <c r="R33" s="45"/>
      <c r="S33" s="465">
        <f>IF(J33=$R$8,L33/K33,0)</f>
        <v>0</v>
      </c>
      <c r="T33" s="568">
        <f>IF(J33=$R$7,L33/K33,0)</f>
        <v>0</v>
      </c>
    </row>
    <row r="34" spans="2:22" ht="21" customHeight="1" x14ac:dyDescent="0.2">
      <c r="B34" s="687"/>
      <c r="C34" s="688"/>
      <c r="D34" s="94">
        <f>IF(D21="","",D21)</f>
        <v>2</v>
      </c>
      <c r="E34" s="415">
        <v>0</v>
      </c>
      <c r="F34" s="294">
        <f>F21*G21</f>
        <v>0</v>
      </c>
      <c r="G34" s="706"/>
      <c r="H34" s="295">
        <f>F34/2*E34</f>
        <v>0</v>
      </c>
      <c r="I34" s="706"/>
      <c r="J34" s="416"/>
      <c r="K34" s="200">
        <f t="shared" si="5"/>
        <v>0</v>
      </c>
      <c r="L34" s="297">
        <f>H34*K34*$L$10</f>
        <v>0</v>
      </c>
      <c r="O34" s="43">
        <f>IF(AND(E34&gt;0,J34=""),34,0)</f>
        <v>0</v>
      </c>
      <c r="R34" s="45"/>
      <c r="S34" s="466">
        <f t="shared" ref="S34:S38" si="6">IF(J34=$R$8,L34/K34,0)</f>
        <v>0</v>
      </c>
      <c r="T34" s="569">
        <f t="shared" ref="T34:T38" si="7">IF(J34=$R$7,L34/K34,0)</f>
        <v>0</v>
      </c>
    </row>
    <row r="35" spans="2:22" ht="21" customHeight="1" x14ac:dyDescent="0.2">
      <c r="B35" s="687"/>
      <c r="C35" s="688"/>
      <c r="D35" s="94">
        <f t="shared" ref="D35:D37" si="8">IF(D22="","",D22)</f>
        <v>3</v>
      </c>
      <c r="E35" s="415">
        <v>0</v>
      </c>
      <c r="F35" s="294">
        <f t="shared" ref="F35:F37" si="9">F22*G22</f>
        <v>0</v>
      </c>
      <c r="G35" s="706"/>
      <c r="H35" s="295">
        <f t="shared" ref="H35:H36" si="10">F35/2*E35</f>
        <v>0</v>
      </c>
      <c r="I35" s="706"/>
      <c r="J35" s="416"/>
      <c r="K35" s="200">
        <f t="shared" si="5"/>
        <v>0</v>
      </c>
      <c r="L35" s="297">
        <f t="shared" ref="L35:L36" si="11">H35*K35*$L$10</f>
        <v>0</v>
      </c>
      <c r="O35" s="43">
        <f>IF(AND(E35&gt;0,J35=""),35,0)</f>
        <v>0</v>
      </c>
      <c r="R35" s="45"/>
      <c r="S35" s="466">
        <f t="shared" si="6"/>
        <v>0</v>
      </c>
      <c r="T35" s="569">
        <f t="shared" si="7"/>
        <v>0</v>
      </c>
    </row>
    <row r="36" spans="2:22" ht="21" customHeight="1" x14ac:dyDescent="0.2">
      <c r="B36" s="687"/>
      <c r="C36" s="688"/>
      <c r="D36" s="94">
        <f t="shared" si="8"/>
        <v>4</v>
      </c>
      <c r="E36" s="415">
        <v>0</v>
      </c>
      <c r="F36" s="294">
        <f t="shared" si="9"/>
        <v>0</v>
      </c>
      <c r="G36" s="706"/>
      <c r="H36" s="295">
        <f t="shared" si="10"/>
        <v>0</v>
      </c>
      <c r="I36" s="706"/>
      <c r="J36" s="416"/>
      <c r="K36" s="200">
        <f t="shared" si="5"/>
        <v>0</v>
      </c>
      <c r="L36" s="297">
        <f t="shared" si="11"/>
        <v>0</v>
      </c>
      <c r="O36" s="43">
        <f>IF(AND(E36&gt;0,J36=""),36,0)</f>
        <v>0</v>
      </c>
      <c r="R36" s="45"/>
      <c r="S36" s="466">
        <f t="shared" si="6"/>
        <v>0</v>
      </c>
      <c r="T36" s="569">
        <f t="shared" si="7"/>
        <v>0</v>
      </c>
    </row>
    <row r="37" spans="2:22" ht="21" customHeight="1" x14ac:dyDescent="0.2">
      <c r="B37" s="687"/>
      <c r="C37" s="688"/>
      <c r="D37" s="94">
        <f t="shared" si="8"/>
        <v>5</v>
      </c>
      <c r="E37" s="415">
        <v>0</v>
      </c>
      <c r="F37" s="294">
        <f t="shared" si="9"/>
        <v>0</v>
      </c>
      <c r="G37" s="706"/>
      <c r="H37" s="295">
        <f>F37/2*E37</f>
        <v>0</v>
      </c>
      <c r="I37" s="706"/>
      <c r="J37" s="416"/>
      <c r="K37" s="200">
        <f t="shared" si="5"/>
        <v>0</v>
      </c>
      <c r="L37" s="297">
        <f>H37*K37*$L$10</f>
        <v>0</v>
      </c>
      <c r="O37" s="43">
        <f>IF(AND(E37&gt;0,J37=""),37,0)</f>
        <v>0</v>
      </c>
      <c r="R37" s="45"/>
      <c r="S37" s="466">
        <f t="shared" si="6"/>
        <v>0</v>
      </c>
      <c r="T37" s="569">
        <f t="shared" si="7"/>
        <v>0</v>
      </c>
    </row>
    <row r="38" spans="2:22" ht="21" customHeight="1" thickBot="1" x14ac:dyDescent="0.25">
      <c r="B38" s="687"/>
      <c r="C38" s="688"/>
      <c r="D38" s="94">
        <f>IF(D25="","",D25)</f>
        <v>6</v>
      </c>
      <c r="E38" s="415">
        <f>E25</f>
        <v>0</v>
      </c>
      <c r="F38" s="294">
        <f t="shared" ref="F38" si="12">F25*G25</f>
        <v>0</v>
      </c>
      <c r="G38" s="706"/>
      <c r="H38" s="295">
        <f>F38/2*E38</f>
        <v>0</v>
      </c>
      <c r="I38" s="706"/>
      <c r="J38" s="416"/>
      <c r="K38" s="200">
        <f t="shared" si="5"/>
        <v>0</v>
      </c>
      <c r="L38" s="297">
        <f>H38*K38*$L$10</f>
        <v>0</v>
      </c>
      <c r="O38" s="11">
        <f>IF(AND(E38&gt;0,J38=""),38,0)</f>
        <v>0</v>
      </c>
      <c r="R38" s="45"/>
      <c r="S38" s="467">
        <f t="shared" si="6"/>
        <v>0</v>
      </c>
      <c r="T38" s="570">
        <f t="shared" si="7"/>
        <v>0</v>
      </c>
      <c r="U38" s="169"/>
      <c r="V38" s="169"/>
    </row>
    <row r="39" spans="2:22" ht="24" customHeight="1" thickTop="1" thickBot="1" x14ac:dyDescent="0.25">
      <c r="B39" s="107" t="s">
        <v>53</v>
      </c>
      <c r="C39" s="197"/>
      <c r="D39" s="105"/>
      <c r="E39" s="196"/>
      <c r="F39" s="105"/>
      <c r="G39" s="105"/>
      <c r="H39" s="296">
        <f>SUM(H33:H38)</f>
        <v>0</v>
      </c>
      <c r="I39" s="198"/>
      <c r="J39" s="105"/>
      <c r="K39" s="105"/>
      <c r="L39" s="267">
        <f>SUM(L33:L38)</f>
        <v>0</v>
      </c>
      <c r="M39" s="75"/>
      <c r="N39" s="9"/>
      <c r="R39" s="463"/>
      <c r="S39" s="464"/>
      <c r="U39" s="169"/>
      <c r="V39" s="169"/>
    </row>
    <row r="40" spans="2:22" ht="21" customHeight="1" thickTop="1" thickBot="1" x14ac:dyDescent="0.25">
      <c r="K40" s="74"/>
      <c r="S40" s="459"/>
      <c r="U40" s="169"/>
      <c r="V40" s="169"/>
    </row>
    <row r="41" spans="2:22" ht="21" customHeight="1" x14ac:dyDescent="0.2">
      <c r="B41" s="211" t="s">
        <v>101</v>
      </c>
      <c r="C41" s="149"/>
      <c r="D41" s="41"/>
      <c r="E41" s="120"/>
      <c r="F41" s="119" t="s">
        <v>60</v>
      </c>
      <c r="G41" s="119" t="s">
        <v>18</v>
      </c>
      <c r="H41" s="689" t="s">
        <v>54</v>
      </c>
      <c r="I41" s="697"/>
      <c r="J41" s="689" t="s">
        <v>59</v>
      </c>
      <c r="K41" s="690"/>
      <c r="L41" s="691"/>
      <c r="Q41" s="178"/>
      <c r="S41" s="459"/>
      <c r="U41" s="169"/>
      <c r="V41" s="169"/>
    </row>
    <row r="42" spans="2:22" ht="21" customHeight="1" x14ac:dyDescent="0.2">
      <c r="B42" s="86"/>
      <c r="C42" s="150"/>
      <c r="D42" s="701"/>
      <c r="E42" s="702"/>
      <c r="F42" s="122"/>
      <c r="G42" s="122"/>
      <c r="H42" s="121"/>
      <c r="I42" s="97" t="s">
        <v>55</v>
      </c>
      <c r="J42" s="692" t="s">
        <v>72</v>
      </c>
      <c r="K42" s="693"/>
      <c r="L42" s="694"/>
      <c r="Q42" s="178"/>
      <c r="S42" s="459"/>
      <c r="U42" s="169"/>
      <c r="V42" s="169"/>
    </row>
    <row r="43" spans="2:22" ht="21" customHeight="1" x14ac:dyDescent="0.2">
      <c r="B43" s="86"/>
      <c r="C43" s="150"/>
      <c r="D43" s="701"/>
      <c r="E43" s="702"/>
      <c r="F43" s="122"/>
      <c r="G43" s="122"/>
      <c r="H43" s="121"/>
      <c r="I43" s="97"/>
      <c r="J43" s="692" t="s">
        <v>71</v>
      </c>
      <c r="K43" s="693"/>
      <c r="L43" s="694"/>
      <c r="Q43" s="178"/>
      <c r="S43" s="459"/>
      <c r="U43" s="169"/>
      <c r="V43" s="169"/>
    </row>
    <row r="44" spans="2:22" ht="21" customHeight="1" x14ac:dyDescent="0.2">
      <c r="B44" s="167" t="str">
        <f>B14</f>
        <v>Silotyp und -bezeichnung</v>
      </c>
      <c r="C44" s="152"/>
      <c r="D44" s="20"/>
      <c r="E44" s="164" t="s">
        <v>3</v>
      </c>
      <c r="F44" s="155" t="s">
        <v>13</v>
      </c>
      <c r="G44" s="155" t="s">
        <v>13</v>
      </c>
      <c r="H44" s="156" t="s">
        <v>10</v>
      </c>
      <c r="I44" s="154" t="s">
        <v>10</v>
      </c>
      <c r="J44" s="187"/>
      <c r="K44" s="154" t="s">
        <v>1</v>
      </c>
      <c r="L44" s="161" t="s">
        <v>2</v>
      </c>
      <c r="Q44" s="73"/>
      <c r="S44" s="566" t="s">
        <v>0</v>
      </c>
      <c r="T44" s="566" t="s">
        <v>57</v>
      </c>
      <c r="U44" s="169"/>
      <c r="V44" s="169"/>
    </row>
    <row r="45" spans="2:22" ht="21" customHeight="1" x14ac:dyDescent="0.2">
      <c r="B45" s="699" t="s">
        <v>19</v>
      </c>
      <c r="C45" s="700"/>
      <c r="D45" s="417" t="s">
        <v>99</v>
      </c>
      <c r="E45" s="415"/>
      <c r="F45" s="418"/>
      <c r="G45" s="418"/>
      <c r="H45" s="200">
        <f t="shared" ref="H45:H52" si="13">F45*G45</f>
        <v>0</v>
      </c>
      <c r="I45" s="201">
        <f t="shared" ref="I45:I52" si="14">H45*E45</f>
        <v>0</v>
      </c>
      <c r="J45" s="416"/>
      <c r="K45" s="201">
        <f t="shared" ref="K45:K52" si="15">IF(J45=$R$7,3,IF(J45=$R$8,6,0))</f>
        <v>0</v>
      </c>
      <c r="L45" s="298">
        <f t="shared" ref="L45:L52" si="16">IF(K45="","",I45*$L$10*K45)</f>
        <v>0</v>
      </c>
      <c r="N45" s="10">
        <f t="shared" ref="N45:N52" si="17">IF(K45=0,0,L45/K45*12)</f>
        <v>0</v>
      </c>
      <c r="O45" s="10">
        <f>IF(AND(E45&gt;0,J45=""),45,0)</f>
        <v>0</v>
      </c>
      <c r="Q45" s="179"/>
      <c r="R45" s="45"/>
      <c r="S45" s="238">
        <f>IF(J45=$R$8,L45/K45,0)</f>
        <v>0</v>
      </c>
      <c r="T45" s="238">
        <f>IF(J45=$R$7,L45/K45,0)</f>
        <v>0</v>
      </c>
      <c r="U45" s="169"/>
      <c r="V45" s="169"/>
    </row>
    <row r="46" spans="2:22" ht="21" customHeight="1" x14ac:dyDescent="0.2">
      <c r="B46" s="703"/>
      <c r="C46" s="704"/>
      <c r="D46" s="419" t="s">
        <v>100</v>
      </c>
      <c r="E46" s="420"/>
      <c r="F46" s="421"/>
      <c r="G46" s="421"/>
      <c r="H46" s="202">
        <f t="shared" si="13"/>
        <v>0</v>
      </c>
      <c r="I46" s="203">
        <f t="shared" si="14"/>
        <v>0</v>
      </c>
      <c r="J46" s="423"/>
      <c r="K46" s="203">
        <f t="shared" si="15"/>
        <v>0</v>
      </c>
      <c r="L46" s="299">
        <f t="shared" si="16"/>
        <v>0</v>
      </c>
      <c r="N46" s="43">
        <f t="shared" si="17"/>
        <v>0</v>
      </c>
      <c r="O46" s="43">
        <f>IF(AND(E46&gt;0,J46=""),46,0)</f>
        <v>0</v>
      </c>
      <c r="Q46" s="179"/>
      <c r="R46" s="45"/>
      <c r="S46" s="239">
        <f t="shared" ref="S46:S52" si="18">IF(J46=$R$8,L46/K46,0)</f>
        <v>0</v>
      </c>
      <c r="T46" s="239">
        <f t="shared" ref="T46:T52" si="19">IF(J46=$R$7,L46/K46,0)</f>
        <v>0</v>
      </c>
    </row>
    <row r="47" spans="2:22" ht="21" customHeight="1" x14ac:dyDescent="0.2">
      <c r="B47" s="699" t="s">
        <v>20</v>
      </c>
      <c r="C47" s="700"/>
      <c r="D47" s="417" t="s">
        <v>147</v>
      </c>
      <c r="E47" s="422"/>
      <c r="F47" s="418"/>
      <c r="G47" s="418"/>
      <c r="H47" s="200">
        <f t="shared" si="13"/>
        <v>0</v>
      </c>
      <c r="I47" s="201">
        <f t="shared" si="14"/>
        <v>0</v>
      </c>
      <c r="J47" s="416"/>
      <c r="K47" s="201">
        <f t="shared" si="15"/>
        <v>0</v>
      </c>
      <c r="L47" s="298">
        <f t="shared" si="16"/>
        <v>0</v>
      </c>
      <c r="N47" s="43">
        <f t="shared" si="17"/>
        <v>0</v>
      </c>
      <c r="O47" s="43">
        <f>IF(AND(E47&gt;0,J47=""),47,0)</f>
        <v>0</v>
      </c>
      <c r="Q47" s="179"/>
      <c r="R47" s="45"/>
      <c r="S47" s="239">
        <f t="shared" si="18"/>
        <v>0</v>
      </c>
      <c r="T47" s="239">
        <f t="shared" si="19"/>
        <v>0</v>
      </c>
    </row>
    <row r="48" spans="2:22" ht="21" customHeight="1" x14ac:dyDescent="0.2">
      <c r="B48" s="687"/>
      <c r="C48" s="688"/>
      <c r="D48" s="417" t="s">
        <v>148</v>
      </c>
      <c r="E48" s="415"/>
      <c r="F48" s="418"/>
      <c r="G48" s="418"/>
      <c r="H48" s="200">
        <f t="shared" si="13"/>
        <v>0</v>
      </c>
      <c r="I48" s="201">
        <f t="shared" si="14"/>
        <v>0</v>
      </c>
      <c r="J48" s="416"/>
      <c r="K48" s="201">
        <f t="shared" si="15"/>
        <v>0</v>
      </c>
      <c r="L48" s="298">
        <f t="shared" si="16"/>
        <v>0</v>
      </c>
      <c r="N48" s="43">
        <f t="shared" si="17"/>
        <v>0</v>
      </c>
      <c r="O48" s="43">
        <f>IF(AND(E48&gt;0,J48=""),48,0)</f>
        <v>0</v>
      </c>
      <c r="Q48" s="179"/>
      <c r="R48" s="45"/>
      <c r="S48" s="239">
        <f t="shared" si="18"/>
        <v>0</v>
      </c>
      <c r="T48" s="239">
        <f t="shared" si="19"/>
        <v>0</v>
      </c>
    </row>
    <row r="49" spans="1:20" ht="21" customHeight="1" x14ac:dyDescent="0.2">
      <c r="B49" s="687"/>
      <c r="C49" s="688"/>
      <c r="D49" s="417" t="s">
        <v>149</v>
      </c>
      <c r="E49" s="415"/>
      <c r="F49" s="418"/>
      <c r="G49" s="418"/>
      <c r="H49" s="204">
        <f t="shared" si="13"/>
        <v>0</v>
      </c>
      <c r="I49" s="205">
        <f t="shared" si="14"/>
        <v>0</v>
      </c>
      <c r="J49" s="416"/>
      <c r="K49" s="201">
        <f t="shared" si="15"/>
        <v>0</v>
      </c>
      <c r="L49" s="298">
        <f t="shared" si="16"/>
        <v>0</v>
      </c>
      <c r="N49" s="43">
        <f t="shared" si="17"/>
        <v>0</v>
      </c>
      <c r="O49" s="43">
        <f>IF(AND(E49&gt;0,J49=""),49,0)</f>
        <v>0</v>
      </c>
      <c r="Q49" s="179"/>
      <c r="R49" s="45"/>
      <c r="S49" s="239">
        <f t="shared" si="18"/>
        <v>0</v>
      </c>
      <c r="T49" s="239">
        <f t="shared" si="19"/>
        <v>0</v>
      </c>
    </row>
    <row r="50" spans="1:20" ht="21" customHeight="1" x14ac:dyDescent="0.2">
      <c r="B50" s="687"/>
      <c r="C50" s="688"/>
      <c r="D50" s="417" t="s">
        <v>150</v>
      </c>
      <c r="E50" s="415"/>
      <c r="F50" s="418"/>
      <c r="G50" s="418"/>
      <c r="H50" s="204">
        <f t="shared" si="13"/>
        <v>0</v>
      </c>
      <c r="I50" s="205">
        <f t="shared" si="14"/>
        <v>0</v>
      </c>
      <c r="J50" s="416"/>
      <c r="K50" s="201">
        <f t="shared" si="15"/>
        <v>0</v>
      </c>
      <c r="L50" s="298">
        <f t="shared" si="16"/>
        <v>0</v>
      </c>
      <c r="N50" s="43">
        <f t="shared" si="17"/>
        <v>0</v>
      </c>
      <c r="O50" s="43">
        <f>IF(AND(E50&gt;0,J50=""),50,0)</f>
        <v>0</v>
      </c>
      <c r="Q50" s="179"/>
      <c r="R50" s="45"/>
      <c r="S50" s="239">
        <f t="shared" si="18"/>
        <v>0</v>
      </c>
      <c r="T50" s="239">
        <f t="shared" si="19"/>
        <v>0</v>
      </c>
    </row>
    <row r="51" spans="1:20" ht="21" customHeight="1" x14ac:dyDescent="0.2">
      <c r="B51" s="687"/>
      <c r="C51" s="688"/>
      <c r="D51" s="417" t="s">
        <v>151</v>
      </c>
      <c r="E51" s="415"/>
      <c r="F51" s="418"/>
      <c r="G51" s="418"/>
      <c r="H51" s="204">
        <f t="shared" si="13"/>
        <v>0</v>
      </c>
      <c r="I51" s="205">
        <f t="shared" si="14"/>
        <v>0</v>
      </c>
      <c r="J51" s="416"/>
      <c r="K51" s="201">
        <f t="shared" si="15"/>
        <v>0</v>
      </c>
      <c r="L51" s="298">
        <f t="shared" si="16"/>
        <v>0</v>
      </c>
      <c r="N51" s="43">
        <f t="shared" si="17"/>
        <v>0</v>
      </c>
      <c r="O51" s="43">
        <f>IF(AND(E51&gt;0,J51=""),51,0)</f>
        <v>0</v>
      </c>
      <c r="Q51" s="179"/>
      <c r="R51" s="45"/>
      <c r="S51" s="239">
        <f t="shared" si="18"/>
        <v>0</v>
      </c>
      <c r="T51" s="239">
        <f t="shared" si="19"/>
        <v>0</v>
      </c>
    </row>
    <row r="52" spans="1:20" ht="21" customHeight="1" thickBot="1" x14ac:dyDescent="0.25">
      <c r="B52" s="687"/>
      <c r="C52" s="688"/>
      <c r="D52" s="417" t="s">
        <v>152</v>
      </c>
      <c r="E52" s="415"/>
      <c r="F52" s="418"/>
      <c r="G52" s="418"/>
      <c r="H52" s="200">
        <f t="shared" si="13"/>
        <v>0</v>
      </c>
      <c r="I52" s="201">
        <f t="shared" si="14"/>
        <v>0</v>
      </c>
      <c r="J52" s="416"/>
      <c r="K52" s="201">
        <f t="shared" si="15"/>
        <v>0</v>
      </c>
      <c r="L52" s="298">
        <f t="shared" si="16"/>
        <v>0</v>
      </c>
      <c r="N52" s="43">
        <f t="shared" si="17"/>
        <v>0</v>
      </c>
      <c r="O52" s="11">
        <f>IF(AND(E52&gt;0,J52=""),52,0)</f>
        <v>0</v>
      </c>
      <c r="Q52" s="179"/>
      <c r="R52" s="45"/>
      <c r="S52" s="239">
        <f t="shared" si="18"/>
        <v>0</v>
      </c>
      <c r="T52" s="239">
        <f t="shared" si="19"/>
        <v>0</v>
      </c>
    </row>
    <row r="53" spans="1:20" ht="24" customHeight="1" thickTop="1" thickBot="1" x14ac:dyDescent="0.25">
      <c r="B53" s="107" t="s">
        <v>153</v>
      </c>
      <c r="C53" s="197"/>
      <c r="D53" s="197"/>
      <c r="E53" s="196"/>
      <c r="F53" s="105"/>
      <c r="G53" s="105"/>
      <c r="H53" s="199"/>
      <c r="I53" s="206">
        <f>SUM(I45:I52)</f>
        <v>0</v>
      </c>
      <c r="J53" s="207"/>
      <c r="K53" s="207"/>
      <c r="L53" s="283">
        <f>SUM(L45:L52)</f>
        <v>0</v>
      </c>
      <c r="M53" s="75"/>
      <c r="N53" s="7">
        <f>SUM(N45:N52)</f>
        <v>0</v>
      </c>
      <c r="Q53" s="240">
        <f>MAX(K33:K38,K47:K52)</f>
        <v>0</v>
      </c>
      <c r="R53" s="463"/>
      <c r="S53" s="573"/>
      <c r="T53" s="573"/>
    </row>
    <row r="54" spans="1:20" ht="21" customHeight="1" thickTop="1" thickBot="1" x14ac:dyDescent="0.25">
      <c r="K54" s="52"/>
      <c r="Q54" s="179"/>
    </row>
    <row r="55" spans="1:20" ht="21" customHeight="1" thickTop="1" thickBot="1" x14ac:dyDescent="0.25">
      <c r="B55" s="481" t="s">
        <v>230</v>
      </c>
      <c r="C55" s="482"/>
      <c r="D55" s="483"/>
      <c r="E55" s="483"/>
      <c r="F55" s="483"/>
      <c r="G55" s="483"/>
      <c r="H55" s="484"/>
      <c r="I55" s="483"/>
      <c r="J55" s="483"/>
      <c r="K55" s="483"/>
      <c r="L55" s="485">
        <f>L27</f>
        <v>0</v>
      </c>
      <c r="Q55" s="179"/>
      <c r="S55" s="461"/>
      <c r="T55" s="461"/>
    </row>
    <row r="56" spans="1:20" ht="21" customHeight="1" thickTop="1" x14ac:dyDescent="0.2">
      <c r="B56" s="486"/>
      <c r="C56" s="487"/>
      <c r="D56" s="488" t="s">
        <v>223</v>
      </c>
      <c r="E56" s="489"/>
      <c r="F56" s="490"/>
      <c r="G56" s="490"/>
      <c r="H56" s="491"/>
      <c r="I56" s="492"/>
      <c r="J56" s="493"/>
      <c r="K56" s="493"/>
      <c r="L56" s="494">
        <f>Q27</f>
        <v>0</v>
      </c>
      <c r="Q56" s="179"/>
      <c r="S56" s="461"/>
      <c r="T56" s="461"/>
    </row>
    <row r="57" spans="1:20" ht="21" customHeight="1" thickBot="1" x14ac:dyDescent="0.25">
      <c r="B57" s="495"/>
      <c r="C57" s="496"/>
      <c r="D57" s="497" t="s">
        <v>224</v>
      </c>
      <c r="E57" s="498"/>
      <c r="F57" s="499"/>
      <c r="G57" s="499"/>
      <c r="H57" s="500"/>
      <c r="I57" s="501"/>
      <c r="J57" s="502"/>
      <c r="K57" s="502"/>
      <c r="L57" s="503">
        <f>R27</f>
        <v>0</v>
      </c>
      <c r="Q57" s="179"/>
      <c r="S57" s="461"/>
      <c r="T57" s="461"/>
    </row>
    <row r="58" spans="1:20" ht="24" customHeight="1" thickTop="1" thickBot="1" x14ac:dyDescent="0.25">
      <c r="B58" s="481" t="s">
        <v>1413</v>
      </c>
      <c r="C58" s="482"/>
      <c r="D58" s="483"/>
      <c r="E58" s="483"/>
      <c r="F58" s="483"/>
      <c r="G58" s="483"/>
      <c r="H58" s="484"/>
      <c r="I58" s="483"/>
      <c r="J58" s="483"/>
      <c r="K58" s="483"/>
      <c r="L58" s="485">
        <f>L59+L60</f>
        <v>0</v>
      </c>
      <c r="M58" s="75"/>
      <c r="Q58" s="180"/>
    </row>
    <row r="59" spans="1:20" ht="21" customHeight="1" thickTop="1" x14ac:dyDescent="0.2">
      <c r="A59" s="300"/>
      <c r="B59" s="486"/>
      <c r="C59" s="487"/>
      <c r="D59" s="488" t="s">
        <v>223</v>
      </c>
      <c r="E59" s="489"/>
      <c r="F59" s="490"/>
      <c r="G59" s="490"/>
      <c r="H59" s="491"/>
      <c r="I59" s="492"/>
      <c r="J59" s="493"/>
      <c r="K59" s="493"/>
      <c r="L59" s="494">
        <f>SUM(S33:S52)</f>
        <v>0</v>
      </c>
    </row>
    <row r="60" spans="1:20" ht="21" customHeight="1" thickBot="1" x14ac:dyDescent="0.25">
      <c r="B60" s="495"/>
      <c r="C60" s="496"/>
      <c r="D60" s="497" t="s">
        <v>224</v>
      </c>
      <c r="E60" s="498"/>
      <c r="F60" s="499"/>
      <c r="G60" s="499"/>
      <c r="H60" s="500"/>
      <c r="I60" s="501"/>
      <c r="J60" s="502"/>
      <c r="K60" s="502"/>
      <c r="L60" s="503">
        <f>SUM(T33:T52)</f>
        <v>0</v>
      </c>
      <c r="O60" s="476"/>
    </row>
    <row r="61" spans="1:20" ht="21" customHeight="1" thickTop="1" x14ac:dyDescent="0.2"/>
    <row r="62" spans="1:20" ht="21" customHeight="1" x14ac:dyDescent="0.2">
      <c r="A62" s="335"/>
    </row>
    <row r="63" spans="1:20" ht="21" customHeight="1" x14ac:dyDescent="0.2"/>
    <row r="64" spans="1:20" ht="21" customHeight="1" x14ac:dyDescent="0.2"/>
    <row r="65" ht="21" customHeight="1" x14ac:dyDescent="0.2"/>
    <row r="66" ht="21" customHeight="1" x14ac:dyDescent="0.2"/>
    <row r="67" ht="21" customHeight="1" x14ac:dyDescent="0.2"/>
    <row r="68" ht="21" customHeight="1" x14ac:dyDescent="0.2"/>
    <row r="69" ht="21" customHeight="1" x14ac:dyDescent="0.2"/>
  </sheetData>
  <sheetProtection password="DE9F" sheet="1" objects="1" scenarios="1"/>
  <mergeCells count="26">
    <mergeCell ref="E5:G5"/>
    <mergeCell ref="I5:L5"/>
    <mergeCell ref="B47:C52"/>
    <mergeCell ref="H41:I41"/>
    <mergeCell ref="K12:L12"/>
    <mergeCell ref="D42:E43"/>
    <mergeCell ref="B45:C46"/>
    <mergeCell ref="J41:L41"/>
    <mergeCell ref="J42:L42"/>
    <mergeCell ref="J43:L43"/>
    <mergeCell ref="G33:G38"/>
    <mergeCell ref="I33:I38"/>
    <mergeCell ref="B19:B25"/>
    <mergeCell ref="C19:C25"/>
    <mergeCell ref="K7:L7"/>
    <mergeCell ref="E7:G10"/>
    <mergeCell ref="H7:I7"/>
    <mergeCell ref="B15:B18"/>
    <mergeCell ref="C15:C18"/>
    <mergeCell ref="B33:C38"/>
    <mergeCell ref="I29:L29"/>
    <mergeCell ref="I30:L30"/>
    <mergeCell ref="I31:L31"/>
    <mergeCell ref="I32:J32"/>
    <mergeCell ref="F29:H29"/>
    <mergeCell ref="G30:H30"/>
  </mergeCells>
  <dataValidations count="6">
    <dataValidation type="whole" allowBlank="1" showInputMessage="1" showErrorMessage="1" errorTitle="Überfüllung" error="Die Überfüllung eines Silos kann bis zu 50 % angesetzt werden." sqref="I20:I25">
      <formula1>0</formula1>
      <formula2>50</formula2>
    </dataValidation>
    <dataValidation type="whole" allowBlank="1" showInputMessage="1" showErrorMessage="1" errorTitle="Anzahl geöffneter Silos" error="Eingegebene zahl geöffneter Silos übersteigt die tatsächlich vorhande Zahl der Silos!" sqref="E38 E33:E36">
      <formula1>0</formula1>
      <formula2>E20</formula2>
    </dataValidation>
    <dataValidation type="whole" allowBlank="1" showInputMessage="1" showErrorMessage="1" errorTitle="Anzahl geöffneter Silos" error="Eingegebene zahl geöffneter Silos übersteigt die tatsächlich vorhande Zahl der Silos!" sqref="E37">
      <formula1>0</formula1>
      <formula2>E22</formula2>
    </dataValidation>
    <dataValidation type="decimal" allowBlank="1" showInputMessage="1" showErrorMessage="1" errorTitle="Abfüllfläche mit Verschmutzung" error="Die Breite der Abfüllfläche (Rangierfläche) darf nicht kleiner sein als die Silobreite!" sqref="G47:G52">
      <formula1>G20</formula1>
      <formula2>100</formula2>
    </dataValidation>
    <dataValidation type="list" allowBlank="1" showInputMessage="1" showErrorMessage="1" errorTitle="Zuleitung" error="Bitte aus Liste auswählen!" sqref="J33:J38 J45:J52 J15:J18 J20:J25">
      <formula1>$R$7:$R$9</formula1>
    </dataValidation>
    <dataValidation type="whole" allowBlank="1" showInputMessage="1" showErrorMessage="1" errorTitle="Niederschlag" error="Bitte geben Sie einen Wert zwischen 600 und 2000 mm ein!" sqref="I10">
      <formula1>600</formula1>
      <formula2>2000</formula2>
    </dataValidation>
  </dataValidations>
  <printOptions horizontalCentered="1"/>
  <pageMargins left="0.59055118110236227" right="0.59055118110236227" top="0.59055118110236227" bottom="0.59055118110236227" header="0.31496062992125984" footer="0.39370078740157483"/>
  <pageSetup paperSize="9" scale="59" orientation="portrait" r:id="rId1"/>
  <headerFooter>
    <oddFooter>&amp;L&amp;8LEL Schwäbisch Gmünd, Ref. 31;
Dr. Hansjörg Nußbaum, LAZBW Aulendorf&amp;C&amp;8FRANSI
&amp;A&amp;R&amp;8Version 1.0
letzte Bearbeitung: &amp;D</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6" id="{A7396854-9E37-47EB-A5C4-D5EADE3A3F18}">
            <xm:f>Tabelle2!$B$1&gt;=Tabelle2!$B$2</xm:f>
            <x14:dxf>
              <fill>
                <patternFill>
                  <bgColor theme="1"/>
                </patternFill>
              </fill>
            </x14:dxf>
          </x14:cfRule>
          <x14:cfRule type="expression" priority="17" id="{F0355E46-E912-4A42-9696-F0E936E5D9F1}">
            <xm:f>Tabelle2!$B$1&gt;=Tabelle2!$B$2</xm:f>
            <x14:dxf/>
          </x14:cfRule>
          <x14:cfRule type="expression" priority="18" id="{E75EF0A0-C500-4966-BBB2-A415C1063657}">
            <xm:f>Tabelle2!$B$1&gt;=Tabelle2!$B$2</xm:f>
            <x14:dxf/>
          </x14:cfRule>
          <xm:sqref>B3:L4 B6:L54 B5:E5 H5:I5 B58:L58</xm:sqref>
        </x14:conditionalFormatting>
        <x14:conditionalFormatting xmlns:xm="http://schemas.microsoft.com/office/excel/2006/main">
          <x14:cfRule type="expression" priority="13" id="{EA2CEF6E-02E3-4A42-AD33-917C76975153}">
            <xm:f>Tabelle2!$B$1&gt;=Tabelle2!$B$2</xm:f>
            <x14:dxf>
              <fill>
                <patternFill>
                  <bgColor theme="1"/>
                </patternFill>
              </fill>
            </x14:dxf>
          </x14:cfRule>
          <x14:cfRule type="expression" priority="14" id="{7583B5B1-5558-4909-B438-7AA7C39F1404}">
            <xm:f>Tabelle2!$B$1&gt;=Tabelle2!$B$2</xm:f>
            <x14:dxf/>
          </x14:cfRule>
          <x14:cfRule type="expression" priority="15" id="{B354633B-4962-490C-AE40-D1777DEC3F7E}">
            <xm:f>Tabelle2!$B$1&gt;=Tabelle2!$B$2</xm:f>
            <x14:dxf/>
          </x14:cfRule>
          <xm:sqref>L59:L60</xm:sqref>
        </x14:conditionalFormatting>
        <x14:conditionalFormatting xmlns:xm="http://schemas.microsoft.com/office/excel/2006/main">
          <x14:cfRule type="expression" priority="10" id="{82E81695-83D4-4B80-9615-A92C7F247D0B}">
            <xm:f>Tabelle2!$B$1&gt;=Tabelle2!$B$2</xm:f>
            <x14:dxf>
              <fill>
                <patternFill>
                  <bgColor theme="1"/>
                </patternFill>
              </fill>
            </x14:dxf>
          </x14:cfRule>
          <x14:cfRule type="expression" priority="11" id="{670E4ED2-6F31-45C6-89B7-8EA65D57B0BB}">
            <xm:f>Tabelle2!$B$1&gt;=Tabelle2!$B$2</xm:f>
            <x14:dxf/>
          </x14:cfRule>
          <x14:cfRule type="expression" priority="12" id="{325199F0-C1BB-45AD-BFFE-6DC360478EE2}">
            <xm:f>Tabelle2!$B$1&gt;=Tabelle2!$B$2</xm:f>
            <x14:dxf/>
          </x14:cfRule>
          <xm:sqref>B59:K60</xm:sqref>
        </x14:conditionalFormatting>
        <x14:conditionalFormatting xmlns:xm="http://schemas.microsoft.com/office/excel/2006/main">
          <x14:cfRule type="expression" priority="7" id="{035E3482-569F-4BC7-A851-9E7639E9D05E}">
            <xm:f>Tabelle2!$B$1&gt;=Tabelle2!$B$2</xm:f>
            <x14:dxf>
              <fill>
                <patternFill>
                  <bgColor theme="1"/>
                </patternFill>
              </fill>
            </x14:dxf>
          </x14:cfRule>
          <x14:cfRule type="expression" priority="8" id="{263692CC-4684-4CCC-BEDD-0790E6449E24}">
            <xm:f>Tabelle2!$B$1&gt;=Tabelle2!$B$2</xm:f>
            <x14:dxf/>
          </x14:cfRule>
          <x14:cfRule type="expression" priority="9" id="{6152079C-5C83-45D6-854F-493589AEAF56}">
            <xm:f>Tabelle2!$B$1&gt;=Tabelle2!$B$2</xm:f>
            <x14:dxf/>
          </x14:cfRule>
          <xm:sqref>B55:L55</xm:sqref>
        </x14:conditionalFormatting>
        <x14:conditionalFormatting xmlns:xm="http://schemas.microsoft.com/office/excel/2006/main">
          <x14:cfRule type="expression" priority="4" id="{577118CA-82D9-4DCF-8737-23B04DCEF3A7}">
            <xm:f>Tabelle2!$B$1&gt;=Tabelle2!$B$2</xm:f>
            <x14:dxf>
              <fill>
                <patternFill>
                  <bgColor theme="1"/>
                </patternFill>
              </fill>
            </x14:dxf>
          </x14:cfRule>
          <x14:cfRule type="expression" priority="5" id="{95FA383C-F251-40DB-94DD-B2558D98BCD3}">
            <xm:f>Tabelle2!$B$1&gt;=Tabelle2!$B$2</xm:f>
            <x14:dxf/>
          </x14:cfRule>
          <x14:cfRule type="expression" priority="6" id="{24AEE898-10C2-4159-8E23-DA34BDB517ED}">
            <xm:f>Tabelle2!$B$1&gt;=Tabelle2!$B$2</xm:f>
            <x14:dxf/>
          </x14:cfRule>
          <xm:sqref>L56:L57</xm:sqref>
        </x14:conditionalFormatting>
        <x14:conditionalFormatting xmlns:xm="http://schemas.microsoft.com/office/excel/2006/main">
          <x14:cfRule type="expression" priority="1" id="{EB93521F-F982-4D2E-84A5-59C224B91E4F}">
            <xm:f>Tabelle2!$B$1&gt;=Tabelle2!$B$2</xm:f>
            <x14:dxf>
              <fill>
                <patternFill>
                  <bgColor theme="1"/>
                </patternFill>
              </fill>
            </x14:dxf>
          </x14:cfRule>
          <x14:cfRule type="expression" priority="2" id="{09EC35AD-E9D2-4C6F-A686-D395E49325F0}">
            <xm:f>Tabelle2!$B$1&gt;=Tabelle2!$B$2</xm:f>
            <x14:dxf/>
          </x14:cfRule>
          <x14:cfRule type="expression" priority="3" id="{8B0B4C55-4B92-466C-A495-59AD6FBBD0C5}">
            <xm:f>Tabelle2!$B$1&gt;=Tabelle2!$B$2</xm:f>
            <x14:dxf/>
          </x14:cfRule>
          <xm:sqref>B56:K57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M46"/>
  <sheetViews>
    <sheetView showGridLines="0" zoomScale="90" zoomScaleNormal="90" workbookViewId="0">
      <pane ySplit="2" topLeftCell="A3" activePane="bottomLeft" state="frozen"/>
      <selection activeCell="D62" sqref="D62"/>
      <selection pane="bottomLeft" activeCell="A3" sqref="A3"/>
    </sheetView>
  </sheetViews>
  <sheetFormatPr baseColWidth="10" defaultColWidth="11" defaultRowHeight="14.25" x14ac:dyDescent="0.2"/>
  <cols>
    <col min="1" max="1" width="1.625" style="300" customWidth="1"/>
    <col min="2" max="2" width="22.5" style="300" customWidth="1"/>
    <col min="3" max="7" width="12.625" style="300" customWidth="1"/>
    <col min="8" max="8" width="13.75" style="300" bestFit="1" customWidth="1"/>
    <col min="9" max="9" width="14.375" style="300" customWidth="1"/>
    <col min="10" max="10" width="11" style="300" customWidth="1"/>
    <col min="11" max="13" width="11" style="300" hidden="1" customWidth="1"/>
    <col min="14" max="16384" width="11" style="300"/>
  </cols>
  <sheetData>
    <row r="1" spans="1:13" ht="21.75" customHeight="1" x14ac:dyDescent="0.2">
      <c r="A1" s="575"/>
      <c r="B1" s="577" t="str">
        <f>IF(M12&gt;0,"Bitte wählen Sie in Zeile "&amp;M12&amp;" die Art der Zuleitung aus!","")</f>
        <v/>
      </c>
      <c r="C1" s="575"/>
      <c r="D1" s="575"/>
      <c r="E1" s="575"/>
      <c r="F1" s="575"/>
      <c r="G1" s="575"/>
      <c r="H1" s="575"/>
      <c r="I1" s="575"/>
    </row>
    <row r="2" spans="1:13" ht="9" customHeight="1" x14ac:dyDescent="0.2">
      <c r="B2" s="334"/>
    </row>
    <row r="3" spans="1:13" ht="21" customHeight="1" x14ac:dyDescent="0.2">
      <c r="A3" s="335"/>
      <c r="B3" s="338" t="s">
        <v>31</v>
      </c>
    </row>
    <row r="4" spans="1:13" ht="21.75" customHeight="1" x14ac:dyDescent="0.2">
      <c r="B4" s="338"/>
    </row>
    <row r="5" spans="1:13" ht="21" customHeight="1" x14ac:dyDescent="0.2">
      <c r="B5" s="473" t="s">
        <v>227</v>
      </c>
      <c r="C5" s="654">
        <f>'Kapazitäten flüssig'!D3</f>
        <v>0</v>
      </c>
      <c r="D5" s="654"/>
      <c r="E5" s="574" t="s">
        <v>228</v>
      </c>
      <c r="F5" s="654">
        <f>'Kapazitäten flüssig'!H3</f>
        <v>0</v>
      </c>
      <c r="G5" s="654"/>
      <c r="H5" s="654"/>
      <c r="I5" s="654"/>
    </row>
    <row r="6" spans="1:13" ht="21" customHeight="1" x14ac:dyDescent="0.2">
      <c r="B6" s="339"/>
      <c r="C6" s="327"/>
      <c r="D6" s="327"/>
      <c r="E6" s="327"/>
      <c r="F6" s="327"/>
      <c r="G6" s="327"/>
      <c r="H6" s="327"/>
      <c r="I6" s="327"/>
      <c r="K6" s="340"/>
    </row>
    <row r="7" spans="1:13" ht="21" customHeight="1" x14ac:dyDescent="0.2">
      <c r="B7" s="341" t="s">
        <v>96</v>
      </c>
      <c r="K7" s="47">
        <v>1</v>
      </c>
      <c r="L7" s="8" t="s">
        <v>57</v>
      </c>
      <c r="M7" s="48">
        <v>3</v>
      </c>
    </row>
    <row r="8" spans="1:13" ht="18" customHeight="1" x14ac:dyDescent="0.2">
      <c r="B8" s="334" t="s">
        <v>79</v>
      </c>
      <c r="K8" s="49">
        <v>2</v>
      </c>
      <c r="L8" s="9" t="s">
        <v>58</v>
      </c>
      <c r="M8" s="50">
        <v>6</v>
      </c>
    </row>
    <row r="9" spans="1:13" ht="18" customHeight="1" x14ac:dyDescent="0.2">
      <c r="B9" s="334" t="s">
        <v>78</v>
      </c>
      <c r="K9" s="5">
        <v>3</v>
      </c>
      <c r="L9" s="78"/>
      <c r="M9" s="79"/>
    </row>
    <row r="10" spans="1:13" ht="9" customHeight="1" x14ac:dyDescent="0.2">
      <c r="B10" s="334"/>
    </row>
    <row r="11" spans="1:13" ht="28.5" customHeight="1" x14ac:dyDescent="0.2">
      <c r="B11" s="342"/>
      <c r="C11" s="343" t="s">
        <v>60</v>
      </c>
      <c r="D11" s="343" t="s">
        <v>18</v>
      </c>
      <c r="E11" s="343" t="s">
        <v>54</v>
      </c>
      <c r="F11" s="343" t="s">
        <v>77</v>
      </c>
      <c r="G11" s="343" t="s">
        <v>69</v>
      </c>
      <c r="H11" s="343" t="s">
        <v>56</v>
      </c>
      <c r="I11" s="343" t="s">
        <v>188</v>
      </c>
    </row>
    <row r="12" spans="1:13" x14ac:dyDescent="0.2">
      <c r="B12" s="344"/>
      <c r="C12" s="345" t="s">
        <v>13</v>
      </c>
      <c r="D12" s="345" t="s">
        <v>13</v>
      </c>
      <c r="E12" s="345" t="s">
        <v>10</v>
      </c>
      <c r="F12" s="345" t="s">
        <v>32</v>
      </c>
      <c r="G12" s="345" t="s">
        <v>7</v>
      </c>
      <c r="H12" s="345"/>
      <c r="I12" s="345" t="s">
        <v>2</v>
      </c>
      <c r="K12" s="599" t="s">
        <v>57</v>
      </c>
      <c r="L12" s="599" t="s">
        <v>0</v>
      </c>
      <c r="M12" s="576">
        <f>MAX(M13:M36)</f>
        <v>0</v>
      </c>
    </row>
    <row r="13" spans="1:13" ht="21" customHeight="1" x14ac:dyDescent="0.2">
      <c r="B13" s="346" t="s">
        <v>73</v>
      </c>
      <c r="C13" s="388"/>
      <c r="D13" s="388"/>
      <c r="E13" s="347">
        <f>C13*D13</f>
        <v>0</v>
      </c>
      <c r="F13" s="348">
        <f>Sickersaft!$I$10</f>
        <v>0</v>
      </c>
      <c r="G13" s="349">
        <v>15</v>
      </c>
      <c r="H13" s="602"/>
      <c r="I13" s="350">
        <f t="shared" ref="I13:I18" si="0">F13*((100-G13)/100)/12*E13/1000</f>
        <v>0</v>
      </c>
      <c r="K13" s="576">
        <f>IF(H13=$L$7,I13,0)</f>
        <v>0</v>
      </c>
      <c r="L13" s="576">
        <f>IF(H13=$L$8,I13,0)</f>
        <v>0</v>
      </c>
      <c r="M13" s="576">
        <f>IF(AND(E13&gt;0,H13=""),13,0)</f>
        <v>0</v>
      </c>
    </row>
    <row r="14" spans="1:13" ht="21" customHeight="1" x14ac:dyDescent="0.2">
      <c r="B14" s="626" t="s">
        <v>1414</v>
      </c>
      <c r="C14" s="389"/>
      <c r="D14" s="389"/>
      <c r="E14" s="352">
        <f t="shared" ref="E14:E18" si="1">C14*D14</f>
        <v>0</v>
      </c>
      <c r="F14" s="469">
        <f>Sickersaft!$I$10</f>
        <v>0</v>
      </c>
      <c r="G14" s="353">
        <v>15</v>
      </c>
      <c r="H14" s="601"/>
      <c r="I14" s="354">
        <f t="shared" si="0"/>
        <v>0</v>
      </c>
      <c r="K14" s="576">
        <f t="shared" ref="K14:K18" si="2">IF(H14=$L$7,I14,0)</f>
        <v>0</v>
      </c>
      <c r="L14" s="576">
        <f t="shared" ref="L14:L18" si="3">IF(H14=$L$8,I14,0)</f>
        <v>0</v>
      </c>
      <c r="M14" s="576">
        <f>IF(AND(E14&gt;0,H14=""),14,0)</f>
        <v>0</v>
      </c>
    </row>
    <row r="15" spans="1:13" ht="21" customHeight="1" x14ac:dyDescent="0.2">
      <c r="B15" s="351" t="s">
        <v>74</v>
      </c>
      <c r="C15" s="389"/>
      <c r="D15" s="389"/>
      <c r="E15" s="352">
        <f t="shared" si="1"/>
        <v>0</v>
      </c>
      <c r="F15" s="469">
        <f>Sickersaft!$I$10</f>
        <v>0</v>
      </c>
      <c r="G15" s="353">
        <v>15</v>
      </c>
      <c r="H15" s="601"/>
      <c r="I15" s="354">
        <f t="shared" si="0"/>
        <v>0</v>
      </c>
      <c r="K15" s="576">
        <f t="shared" si="2"/>
        <v>0</v>
      </c>
      <c r="L15" s="576">
        <f t="shared" si="3"/>
        <v>0</v>
      </c>
      <c r="M15" s="576">
        <f>IF(AND(E15&gt;0,H15=""),15,0)</f>
        <v>0</v>
      </c>
    </row>
    <row r="16" spans="1:13" ht="21" customHeight="1" x14ac:dyDescent="0.2">
      <c r="B16" s="351" t="s">
        <v>75</v>
      </c>
      <c r="C16" s="352"/>
      <c r="D16" s="352"/>
      <c r="E16" s="352">
        <f>'Kapazitäten fest'!H14</f>
        <v>0</v>
      </c>
      <c r="F16" s="469">
        <f>Sickersaft!$I$10</f>
        <v>0</v>
      </c>
      <c r="G16" s="353">
        <v>15</v>
      </c>
      <c r="H16" s="601"/>
      <c r="I16" s="354">
        <f>IF(E17=0,F16*((100-G16)/100)/12*E16/1000,F16*((100-G16)/100)/12*(E16-E17)/1000)</f>
        <v>0</v>
      </c>
      <c r="K16" s="576">
        <f t="shared" si="2"/>
        <v>0</v>
      </c>
      <c r="L16" s="576">
        <f t="shared" si="3"/>
        <v>0</v>
      </c>
      <c r="M16" s="576">
        <f>IF(AND(E16&gt;0,H16=""),16,0)</f>
        <v>0</v>
      </c>
    </row>
    <row r="17" spans="1:13" ht="21" customHeight="1" x14ac:dyDescent="0.2">
      <c r="B17" s="585" t="s">
        <v>1400</v>
      </c>
      <c r="C17" s="355"/>
      <c r="D17" s="584"/>
      <c r="E17" s="391"/>
      <c r="F17" s="589" t="s">
        <v>1401</v>
      </c>
      <c r="G17" s="588" t="s">
        <v>1401</v>
      </c>
      <c r="H17" s="586"/>
      <c r="I17" s="587" t="s">
        <v>1401</v>
      </c>
      <c r="K17" s="576"/>
      <c r="L17" s="576"/>
      <c r="M17" s="576"/>
    </row>
    <row r="18" spans="1:13" ht="21" customHeight="1" thickBot="1" x14ac:dyDescent="0.25">
      <c r="B18" s="392"/>
      <c r="C18" s="390"/>
      <c r="D18" s="391"/>
      <c r="E18" s="391">
        <f t="shared" si="1"/>
        <v>0</v>
      </c>
      <c r="F18" s="470">
        <f>Sickersaft!$I$10</f>
        <v>0</v>
      </c>
      <c r="G18" s="355">
        <v>15</v>
      </c>
      <c r="H18" s="600"/>
      <c r="I18" s="356">
        <f t="shared" si="0"/>
        <v>0</v>
      </c>
      <c r="K18" s="576">
        <f t="shared" si="2"/>
        <v>0</v>
      </c>
      <c r="L18" s="576">
        <f t="shared" si="3"/>
        <v>0</v>
      </c>
      <c r="M18" s="576">
        <f>IF(AND(SUM(C18:E18)&gt;0,H18=""),17,0)</f>
        <v>0</v>
      </c>
    </row>
    <row r="19" spans="1:13" ht="21" customHeight="1" thickTop="1" thickBot="1" x14ac:dyDescent="0.25">
      <c r="B19" s="357" t="s">
        <v>76</v>
      </c>
      <c r="C19" s="328"/>
      <c r="D19" s="328"/>
      <c r="E19" s="358">
        <f>SUM(E13:E18)</f>
        <v>0</v>
      </c>
      <c r="F19" s="359"/>
      <c r="G19" s="360"/>
      <c r="H19" s="360"/>
      <c r="I19" s="361">
        <f>SUM(I13:I18)</f>
        <v>0</v>
      </c>
    </row>
    <row r="20" spans="1:13" ht="15" thickTop="1" x14ac:dyDescent="0.2"/>
    <row r="21" spans="1:13" ht="18" customHeight="1" x14ac:dyDescent="0.2">
      <c r="B21" s="627" t="s">
        <v>1442</v>
      </c>
      <c r="C21" s="325"/>
      <c r="D21" s="325"/>
      <c r="E21" s="325"/>
      <c r="F21" s="325"/>
    </row>
    <row r="22" spans="1:13" ht="21" customHeight="1" x14ac:dyDescent="0.2">
      <c r="B22" s="362" t="s">
        <v>34</v>
      </c>
    </row>
    <row r="23" spans="1:13" ht="9" customHeight="1" x14ac:dyDescent="0.2">
      <c r="B23" s="362"/>
    </row>
    <row r="24" spans="1:13" ht="28.5" x14ac:dyDescent="0.2">
      <c r="B24" s="342"/>
      <c r="C24" s="343" t="s">
        <v>60</v>
      </c>
      <c r="D24" s="343" t="s">
        <v>18</v>
      </c>
      <c r="E24" s="343" t="s">
        <v>54</v>
      </c>
      <c r="F24" s="343" t="s">
        <v>77</v>
      </c>
      <c r="G24" s="343" t="s">
        <v>69</v>
      </c>
      <c r="H24" s="343" t="s">
        <v>56</v>
      </c>
      <c r="I24" s="343" t="s">
        <v>188</v>
      </c>
    </row>
    <row r="25" spans="1:13" x14ac:dyDescent="0.2">
      <c r="B25" s="344"/>
      <c r="C25" s="345" t="s">
        <v>13</v>
      </c>
      <c r="D25" s="345" t="s">
        <v>13</v>
      </c>
      <c r="E25" s="345" t="s">
        <v>10</v>
      </c>
      <c r="F25" s="345" t="s">
        <v>32</v>
      </c>
      <c r="G25" s="345" t="s">
        <v>7</v>
      </c>
      <c r="H25" s="345"/>
      <c r="I25" s="345" t="s">
        <v>2</v>
      </c>
    </row>
    <row r="26" spans="1:13" ht="21" customHeight="1" x14ac:dyDescent="0.2">
      <c r="B26" s="346" t="s">
        <v>187</v>
      </c>
      <c r="C26" s="363"/>
      <c r="D26" s="364"/>
      <c r="E26" s="347">
        <f>'Kapazitäten flüssig'!L29</f>
        <v>0</v>
      </c>
      <c r="F26" s="365">
        <f>Sickersaft!$I$10</f>
        <v>0</v>
      </c>
      <c r="G26" s="349">
        <v>30</v>
      </c>
      <c r="H26" s="559"/>
      <c r="I26" s="350">
        <f>F26*((100-G26)/100)/12*E26/1000</f>
        <v>0</v>
      </c>
      <c r="K26" s="576"/>
      <c r="L26" s="582">
        <f>I26</f>
        <v>0</v>
      </c>
    </row>
    <row r="27" spans="1:13" ht="21" customHeight="1" x14ac:dyDescent="0.2">
      <c r="B27" s="351" t="s">
        <v>81</v>
      </c>
      <c r="C27" s="366"/>
      <c r="D27" s="367"/>
      <c r="E27" s="352">
        <f>'Kapazitäten flüssig'!L59</f>
        <v>0</v>
      </c>
      <c r="F27" s="368">
        <f>Sickersaft!$I$10</f>
        <v>0</v>
      </c>
      <c r="G27" s="353">
        <v>30</v>
      </c>
      <c r="H27" s="559"/>
      <c r="I27" s="354">
        <f t="shared" ref="I27:I28" si="4">F27*((100-G27)/100)/12*E27/1000</f>
        <v>0</v>
      </c>
      <c r="K27" s="582">
        <f>I27</f>
        <v>0</v>
      </c>
      <c r="L27" s="576"/>
    </row>
    <row r="28" spans="1:13" ht="21" customHeight="1" thickBot="1" x14ac:dyDescent="0.25">
      <c r="B28" s="392" t="s">
        <v>1417</v>
      </c>
      <c r="C28" s="390"/>
      <c r="D28" s="391"/>
      <c r="E28" s="391">
        <f t="shared" ref="E28" si="5">C28*D28</f>
        <v>0</v>
      </c>
      <c r="F28" s="369">
        <f>Sickersaft!$I$10</f>
        <v>0</v>
      </c>
      <c r="G28" s="370">
        <v>30</v>
      </c>
      <c r="H28" s="600"/>
      <c r="I28" s="356">
        <f t="shared" si="4"/>
        <v>0</v>
      </c>
      <c r="K28" s="576">
        <f t="shared" ref="K28" si="6">IF(H28=$L$7,I28,0)</f>
        <v>0</v>
      </c>
      <c r="L28" s="576">
        <f t="shared" ref="L28" si="7">IF(H28=$L$8,I28,0)</f>
        <v>0</v>
      </c>
      <c r="M28" s="581">
        <f>IF(AND(SUM(C28:E28)&gt;0,H28=""),27,0)</f>
        <v>0</v>
      </c>
    </row>
    <row r="29" spans="1:13" ht="21" customHeight="1" thickTop="1" thickBot="1" x14ac:dyDescent="0.25">
      <c r="B29" s="357" t="s">
        <v>80</v>
      </c>
      <c r="C29" s="328"/>
      <c r="D29" s="328"/>
      <c r="E29" s="326">
        <f>SUM(E26:E28)</f>
        <v>0</v>
      </c>
      <c r="F29" s="359"/>
      <c r="G29" s="360"/>
      <c r="H29" s="360"/>
      <c r="I29" s="361">
        <f>SUM(I26:I28)</f>
        <v>0</v>
      </c>
    </row>
    <row r="30" spans="1:13" ht="15" thickTop="1" x14ac:dyDescent="0.2"/>
    <row r="31" spans="1:13" ht="21" customHeight="1" x14ac:dyDescent="0.2">
      <c r="A31" s="335"/>
      <c r="B31" s="371" t="s">
        <v>192</v>
      </c>
    </row>
    <row r="32" spans="1:13" ht="21" customHeight="1" x14ac:dyDescent="0.2">
      <c r="B32" s="372"/>
      <c r="C32" s="373"/>
      <c r="D32" s="373"/>
      <c r="E32" s="373"/>
      <c r="F32" s="374"/>
      <c r="G32" s="343" t="s">
        <v>190</v>
      </c>
      <c r="H32" s="343" t="s">
        <v>56</v>
      </c>
      <c r="I32" s="343" t="s">
        <v>191</v>
      </c>
    </row>
    <row r="33" spans="1:13" ht="15.75" x14ac:dyDescent="0.2">
      <c r="B33" s="375"/>
      <c r="C33" s="376"/>
      <c r="D33" s="376"/>
      <c r="E33" s="376"/>
      <c r="F33" s="377"/>
      <c r="G33" s="345" t="s">
        <v>2</v>
      </c>
      <c r="H33" s="345"/>
      <c r="I33" s="345" t="s">
        <v>2</v>
      </c>
    </row>
    <row r="34" spans="1:13" ht="21" customHeight="1" x14ac:dyDescent="0.2">
      <c r="B34" s="346" t="s">
        <v>35</v>
      </c>
      <c r="C34" s="378"/>
      <c r="D34" s="378"/>
      <c r="E34" s="378"/>
      <c r="F34" s="378"/>
      <c r="G34" s="393"/>
      <c r="H34" s="601"/>
      <c r="I34" s="379">
        <f>G34/12</f>
        <v>0</v>
      </c>
      <c r="K34" s="576">
        <f>IF(H34=$L$7,I34,0)</f>
        <v>0</v>
      </c>
      <c r="L34" s="576">
        <f>IF(H34=$L$8,I34,0)</f>
        <v>0</v>
      </c>
      <c r="M34" s="576">
        <f>IF(AND(SUM(C34:D34)&gt;0,H34=""),33,0)</f>
        <v>0</v>
      </c>
    </row>
    <row r="35" spans="1:13" ht="21" customHeight="1" x14ac:dyDescent="0.2">
      <c r="B35" s="380" t="s">
        <v>186</v>
      </c>
      <c r="C35" s="381"/>
      <c r="D35" s="381"/>
      <c r="E35" s="381"/>
      <c r="F35" s="381"/>
      <c r="G35" s="394"/>
      <c r="H35" s="601"/>
      <c r="I35" s="382">
        <f>G35/12</f>
        <v>0</v>
      </c>
      <c r="K35" s="576">
        <f t="shared" ref="K35:K36" si="8">IF(H35=$L$7,I35,0)</f>
        <v>0</v>
      </c>
      <c r="L35" s="576">
        <f t="shared" ref="L35:L36" si="9">IF(H35=$L$8,I35,0)</f>
        <v>0</v>
      </c>
      <c r="M35" s="576">
        <f>IF(AND(SUM(C35:D35)&gt;0,H35=""),34,0)</f>
        <v>0</v>
      </c>
    </row>
    <row r="36" spans="1:13" ht="21" customHeight="1" thickBot="1" x14ac:dyDescent="0.25">
      <c r="B36" s="721"/>
      <c r="C36" s="722"/>
      <c r="D36" s="722"/>
      <c r="E36" s="722"/>
      <c r="F36" s="723"/>
      <c r="G36" s="395"/>
      <c r="H36" s="603"/>
      <c r="I36" s="383">
        <f>G36/12</f>
        <v>0</v>
      </c>
      <c r="K36" s="576">
        <f t="shared" si="8"/>
        <v>0</v>
      </c>
      <c r="L36" s="576">
        <f t="shared" si="9"/>
        <v>0</v>
      </c>
      <c r="M36" s="576">
        <f>IF(AND(G36&gt;0,H36=""),35,0)</f>
        <v>0</v>
      </c>
    </row>
    <row r="37" spans="1:13" ht="21" customHeight="1" thickTop="1" thickBot="1" x14ac:dyDescent="0.25">
      <c r="B37" s="357" t="s">
        <v>87</v>
      </c>
      <c r="C37" s="328"/>
      <c r="D37" s="328"/>
      <c r="E37" s="328"/>
      <c r="F37" s="558"/>
      <c r="G37" s="360"/>
      <c r="H37" s="360"/>
      <c r="I37" s="361">
        <f>SUM(I34:I36)</f>
        <v>0</v>
      </c>
    </row>
    <row r="38" spans="1:13" ht="21" customHeight="1" thickTop="1" thickBot="1" x14ac:dyDescent="0.25">
      <c r="B38" s="339"/>
      <c r="C38" s="327"/>
      <c r="D38" s="327"/>
      <c r="E38" s="327"/>
      <c r="F38" s="327"/>
      <c r="G38" s="327"/>
      <c r="H38" s="327"/>
      <c r="I38" s="384"/>
    </row>
    <row r="39" spans="1:13" ht="24" customHeight="1" thickTop="1" thickBot="1" x14ac:dyDescent="0.25">
      <c r="B39" s="385" t="s">
        <v>1395</v>
      </c>
      <c r="C39" s="386"/>
      <c r="D39" s="386"/>
      <c r="E39" s="386"/>
      <c r="F39" s="386"/>
      <c r="G39" s="386"/>
      <c r="H39" s="386"/>
      <c r="I39" s="387">
        <f>I42*12</f>
        <v>0</v>
      </c>
    </row>
    <row r="40" spans="1:13" ht="21" customHeight="1" thickTop="1" x14ac:dyDescent="0.2">
      <c r="B40" s="555" t="s">
        <v>223</v>
      </c>
      <c r="C40" s="556"/>
      <c r="D40" s="556"/>
      <c r="E40" s="556"/>
      <c r="F40" s="556"/>
      <c r="G40" s="556"/>
      <c r="H40" s="556"/>
      <c r="I40" s="557">
        <f>I43*12</f>
        <v>0</v>
      </c>
    </row>
    <row r="41" spans="1:13" ht="21" customHeight="1" thickBot="1" x14ac:dyDescent="0.25">
      <c r="B41" s="552" t="s">
        <v>224</v>
      </c>
      <c r="C41" s="551"/>
      <c r="D41" s="551"/>
      <c r="E41" s="551"/>
      <c r="F41" s="551"/>
      <c r="G41" s="551"/>
      <c r="H41" s="551"/>
      <c r="I41" s="553">
        <f>I44*12</f>
        <v>0</v>
      </c>
    </row>
    <row r="42" spans="1:13" ht="24" customHeight="1" thickTop="1" thickBot="1" x14ac:dyDescent="0.25">
      <c r="B42" s="385" t="s">
        <v>1396</v>
      </c>
      <c r="C42" s="386"/>
      <c r="D42" s="386"/>
      <c r="E42" s="386"/>
      <c r="F42" s="386"/>
      <c r="G42" s="386"/>
      <c r="H42" s="386"/>
      <c r="I42" s="387">
        <f>SUM(I19,I29,I37)</f>
        <v>0</v>
      </c>
    </row>
    <row r="43" spans="1:13" ht="21" customHeight="1" thickTop="1" x14ac:dyDescent="0.2">
      <c r="B43" s="555" t="s">
        <v>223</v>
      </c>
      <c r="C43" s="556"/>
      <c r="D43" s="556"/>
      <c r="E43" s="556"/>
      <c r="F43" s="556"/>
      <c r="G43" s="556"/>
      <c r="H43" s="556"/>
      <c r="I43" s="557">
        <f>SUM(L13:L18,L26:L28,L34:L36)</f>
        <v>0</v>
      </c>
    </row>
    <row r="44" spans="1:13" ht="21" customHeight="1" thickBot="1" x14ac:dyDescent="0.25">
      <c r="B44" s="552" t="s">
        <v>224</v>
      </c>
      <c r="C44" s="554"/>
      <c r="D44" s="554"/>
      <c r="E44" s="554"/>
      <c r="F44" s="554"/>
      <c r="G44" s="554"/>
      <c r="H44" s="554"/>
      <c r="I44" s="553">
        <f>SUM(K13:K18,K26:K28,K34:K36)</f>
        <v>0</v>
      </c>
    </row>
    <row r="45" spans="1:13" ht="15" thickTop="1" x14ac:dyDescent="0.2"/>
    <row r="46" spans="1:13" x14ac:dyDescent="0.2">
      <c r="A46" s="335"/>
    </row>
  </sheetData>
  <sheetProtection password="DE9F" sheet="1" objects="1" scenarios="1"/>
  <mergeCells count="3">
    <mergeCell ref="B36:F36"/>
    <mergeCell ref="C5:D5"/>
    <mergeCell ref="F5:I5"/>
  </mergeCells>
  <dataValidations count="2">
    <dataValidation type="list" allowBlank="1" showInputMessage="1" showErrorMessage="1" errorTitle="Zuleitung" sqref="H34:H36 H28 H13:H16 H18">
      <formula1>$L$7:$L$9</formula1>
    </dataValidation>
    <dataValidation type="decimal" allowBlank="1" showInputMessage="1" showErrorMessage="1" errorTitle="davon überdachtes Festmistlager" error="Überdachte Grundfläche kann nicht größer sein, als Grundfläche gesamt! " sqref="E17">
      <formula1>0</formula1>
      <formula2>E16</formula2>
    </dataValidation>
  </dataValidations>
  <printOptions horizontalCentered="1"/>
  <pageMargins left="0.59055118110236227" right="0.59055118110236227" top="0.59055118110236227" bottom="0.59055118110236227" header="0.31496062992125984" footer="0.39370078740157483"/>
  <pageSetup paperSize="9" scale="73" orientation="portrait" r:id="rId1"/>
  <headerFooter>
    <oddFooter>&amp;L&amp;8LEL Schwäbisch Gmünd, Ref. 31;
Dr. Hansjörg Nußbaum, LAZBW Aulendorf&amp;C&amp;8FRANSI
&amp;A&amp;R&amp;8Version 1.0
letzte Bearbeitung: &amp;D</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5" id="{CB2EE44E-EFA8-419F-AF86-D0A88272C7C7}">
            <xm:f>Tabelle2!$B$1&gt;=Tabelle2!$B$2</xm:f>
            <x14:dxf>
              <fill>
                <patternFill>
                  <bgColor theme="1"/>
                </patternFill>
              </fill>
            </x14:dxf>
          </x14:cfRule>
          <xm:sqref>B3:I4 B5:C5 E5:F5 B6:I16 B39:H39 I42 B18:I38 B17:G17 I17</xm:sqref>
        </x14:conditionalFormatting>
        <x14:conditionalFormatting xmlns:xm="http://schemas.microsoft.com/office/excel/2006/main">
          <x14:cfRule type="expression" priority="3" id="{9446460D-27AD-4735-B3F3-231885CC4733}">
            <xm:f>Tabelle2!$B$1&gt;=Tabelle2!$B$2</xm:f>
            <x14:dxf>
              <fill>
                <patternFill>
                  <bgColor theme="1"/>
                </patternFill>
              </fill>
            </x14:dxf>
          </x14:cfRule>
          <xm:sqref>B42:H42</xm:sqref>
        </x14:conditionalFormatting>
        <x14:conditionalFormatting xmlns:xm="http://schemas.microsoft.com/office/excel/2006/main">
          <x14:cfRule type="expression" priority="2" id="{CF6730E4-0B60-47C9-8946-EAD3E561AA45}">
            <xm:f>Tabelle2!$B$1&gt;=Tabelle2!$B$2</xm:f>
            <x14:dxf>
              <fill>
                <patternFill>
                  <bgColor theme="1"/>
                </patternFill>
              </fill>
            </x14:dxf>
          </x14:cfRule>
          <xm:sqref>I39</xm:sqref>
        </x14:conditionalFormatting>
        <x14:conditionalFormatting xmlns:xm="http://schemas.microsoft.com/office/excel/2006/main">
          <x14:cfRule type="expression" priority="1" id="{0327142C-0FC7-4D09-A430-2275074C9E4C}">
            <xm:f>Tabelle2!$B$1&gt;=Tabelle2!$B$2</xm:f>
            <x14:dxf>
              <fill>
                <patternFill>
                  <bgColor theme="1"/>
                </patternFill>
              </fill>
            </x14:dxf>
          </x14:cfRule>
          <xm:sqref>B2:I2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zoomScaleNormal="100" workbookViewId="0">
      <pane ySplit="2" topLeftCell="A3" activePane="bottomLeft" state="frozen"/>
      <selection activeCell="D62" sqref="D62"/>
      <selection pane="bottomLeft"/>
    </sheetView>
  </sheetViews>
  <sheetFormatPr baseColWidth="10" defaultColWidth="11" defaultRowHeight="14.25" x14ac:dyDescent="0.2"/>
  <cols>
    <col min="1" max="1" width="1.625" style="300" customWidth="1"/>
    <col min="2" max="2" width="3.375" style="300" customWidth="1"/>
    <col min="3" max="3" width="25.875" style="300" customWidth="1"/>
    <col min="4" max="7" width="13.625" style="300" customWidth="1"/>
    <col min="8" max="8" width="17.375" style="300" customWidth="1"/>
    <col min="9" max="9" width="1.625" style="300" customWidth="1"/>
    <col min="10" max="10" width="8.875" style="300" hidden="1" customWidth="1"/>
    <col min="11" max="11" width="5.25" style="300" hidden="1" customWidth="1"/>
    <col min="12" max="12" width="16.375" style="300" hidden="1" customWidth="1"/>
    <col min="13" max="15" width="11" style="300" customWidth="1"/>
    <col min="16" max="16384" width="11" style="300"/>
  </cols>
  <sheetData>
    <row r="1" spans="1:14" ht="18" customHeight="1" x14ac:dyDescent="0.2">
      <c r="A1" s="605"/>
      <c r="B1" s="606" t="str">
        <f>IF(AND(SUM(F11:F12)=0,SUM(F21,F23)&gt;0),"Kein Güllelager vorhanden!","")</f>
        <v/>
      </c>
      <c r="C1" s="605"/>
      <c r="D1" s="605"/>
      <c r="E1" s="605"/>
      <c r="F1" s="605"/>
      <c r="G1" s="605"/>
      <c r="H1" s="628">
        <f>IF(J4&gt;0,"Bitte beachten Sie in Arbeitsblatt &lt;"&amp;VLOOKUP(J4,K1:L4,2,FALSE)&amp;"&gt; den Hinweis in Zeile 1 ",0)</f>
        <v>0</v>
      </c>
      <c r="J1" s="300">
        <f>IF('Kapazitäten flüssig'!R8&gt;0,1,0)</f>
        <v>0</v>
      </c>
      <c r="K1" s="300">
        <v>0</v>
      </c>
    </row>
    <row r="2" spans="1:14" ht="9" customHeight="1" x14ac:dyDescent="0.2">
      <c r="A2" s="607"/>
      <c r="B2" s="608"/>
      <c r="C2" s="607"/>
      <c r="D2" s="607"/>
      <c r="E2" s="607"/>
      <c r="F2" s="607"/>
      <c r="G2" s="607"/>
      <c r="H2" s="607"/>
      <c r="J2" s="300">
        <f>IF(OR(Sickersaft!N14&gt;0,Sickersaft!O14&gt;0),2,0)</f>
        <v>0</v>
      </c>
      <c r="K2" s="300">
        <v>1</v>
      </c>
      <c r="L2" s="300" t="s">
        <v>111</v>
      </c>
    </row>
    <row r="3" spans="1:14" ht="20.25" x14ac:dyDescent="0.2">
      <c r="A3" s="335"/>
      <c r="B3" s="301" t="s">
        <v>1405</v>
      </c>
      <c r="J3" s="300">
        <f>IF('Weitere Zuflüsse'!M12&gt;0,3,0)</f>
        <v>0</v>
      </c>
      <c r="K3" s="300">
        <v>2</v>
      </c>
      <c r="L3" s="300" t="s">
        <v>206</v>
      </c>
    </row>
    <row r="4" spans="1:14" ht="20.25" x14ac:dyDescent="0.2">
      <c r="B4" s="301"/>
      <c r="J4" s="576">
        <f>MAX(J1:J3)</f>
        <v>0</v>
      </c>
      <c r="K4" s="300">
        <v>3</v>
      </c>
      <c r="L4" s="300" t="s">
        <v>31</v>
      </c>
    </row>
    <row r="5" spans="1:14" ht="18" x14ac:dyDescent="0.2">
      <c r="B5" s="654">
        <f>'Kapazitäten flüssig'!D3</f>
        <v>0</v>
      </c>
      <c r="C5" s="654"/>
      <c r="D5" s="654"/>
      <c r="F5" s="654">
        <f>'Kapazitäten flüssig'!H3</f>
        <v>0</v>
      </c>
      <c r="G5" s="654"/>
      <c r="H5" s="654"/>
    </row>
    <row r="6" spans="1:14" x14ac:dyDescent="0.2">
      <c r="B6" s="474" t="s">
        <v>227</v>
      </c>
      <c r="C6" s="474"/>
      <c r="D6" s="474"/>
      <c r="E6" s="474"/>
      <c r="F6" s="474" t="s">
        <v>226</v>
      </c>
      <c r="G6" s="334"/>
      <c r="H6" s="334"/>
    </row>
    <row r="7" spans="1:14" ht="18" customHeight="1" x14ac:dyDescent="0.2">
      <c r="B7" s="301"/>
    </row>
    <row r="8" spans="1:14" ht="18" customHeight="1" x14ac:dyDescent="0.2">
      <c r="B8" s="302" t="s">
        <v>89</v>
      </c>
      <c r="J8" s="337">
        <v>3</v>
      </c>
    </row>
    <row r="9" spans="1:14" ht="15.75" thickBot="1" x14ac:dyDescent="0.25">
      <c r="F9" s="303" t="s">
        <v>85</v>
      </c>
      <c r="G9" s="303" t="s">
        <v>88</v>
      </c>
      <c r="H9" s="336" t="str">
        <f>J8&amp;" Monate"</f>
        <v>3 Monate</v>
      </c>
      <c r="J9" s="304"/>
    </row>
    <row r="10" spans="1:14" ht="18" customHeight="1" x14ac:dyDescent="0.2">
      <c r="B10" s="305" t="s">
        <v>25</v>
      </c>
      <c r="C10" s="306"/>
      <c r="D10" s="306"/>
      <c r="E10" s="306"/>
      <c r="F10" s="307" t="s">
        <v>4</v>
      </c>
      <c r="G10" s="307"/>
      <c r="H10" s="308"/>
    </row>
    <row r="11" spans="1:14" ht="18" customHeight="1" x14ac:dyDescent="0.2">
      <c r="B11" s="309"/>
      <c r="C11" s="310" t="s">
        <v>83</v>
      </c>
      <c r="D11" s="310"/>
      <c r="E11" s="311"/>
      <c r="F11" s="312">
        <f>'Kapazitäten flüssig'!J29</f>
        <v>0</v>
      </c>
      <c r="G11" s="724"/>
      <c r="H11" s="725"/>
    </row>
    <row r="12" spans="1:14" ht="18" customHeight="1" x14ac:dyDescent="0.2">
      <c r="B12" s="313"/>
      <c r="C12" s="314" t="s">
        <v>27</v>
      </c>
      <c r="D12" s="314"/>
      <c r="E12" s="315"/>
      <c r="F12" s="316">
        <f>'Kapazitäten flüssig'!J41</f>
        <v>0</v>
      </c>
      <c r="G12" s="726"/>
      <c r="H12" s="727"/>
      <c r="N12" s="304"/>
    </row>
    <row r="13" spans="1:14" ht="18" customHeight="1" x14ac:dyDescent="0.2">
      <c r="B13" s="313"/>
      <c r="C13" s="506" t="s">
        <v>240</v>
      </c>
      <c r="D13" s="314"/>
      <c r="E13" s="315"/>
      <c r="F13" s="316">
        <f>'Kapazitäten flüssig'!J44</f>
        <v>0</v>
      </c>
      <c r="G13" s="726"/>
      <c r="H13" s="727"/>
    </row>
    <row r="14" spans="1:14" ht="18" customHeight="1" x14ac:dyDescent="0.2">
      <c r="B14" s="313"/>
      <c r="C14" s="506" t="s">
        <v>239</v>
      </c>
      <c r="D14" s="314"/>
      <c r="E14" s="315"/>
      <c r="F14" s="316">
        <f>'Kapazitäten flüssig'!J45*-1</f>
        <v>0</v>
      </c>
      <c r="G14" s="726" t="str">
        <f>IF(AND(J21&gt;0,F15=0),"Sickersaftlager nicht vorhanden!",IF(F15&lt;J23,"Sickersaftlager nicht ausreichend! (bezogen auf 3 Monate)",IF(F15&gt;=J23,"Sickersaftbehälter ausreichend! (bezogen auf 3 Monate)")))</f>
        <v>Sickersaftbehälter ausreichend! (bezogen auf 3 Monate)</v>
      </c>
      <c r="H14" s="727"/>
    </row>
    <row r="15" spans="1:14" ht="18" customHeight="1" thickBot="1" x14ac:dyDescent="0.25">
      <c r="B15" s="317"/>
      <c r="C15" s="318" t="s">
        <v>84</v>
      </c>
      <c r="D15" s="318"/>
      <c r="E15" s="319"/>
      <c r="F15" s="320">
        <f>'Kapazitäten flüssig'!J59</f>
        <v>0</v>
      </c>
      <c r="G15" s="728"/>
      <c r="H15" s="729"/>
    </row>
    <row r="16" spans="1:14" ht="18" customHeight="1" thickTop="1" thickBot="1" x14ac:dyDescent="0.25">
      <c r="B16" s="321" t="s">
        <v>22</v>
      </c>
      <c r="C16" s="322"/>
      <c r="D16" s="322"/>
      <c r="E16" s="322"/>
      <c r="F16" s="323">
        <f>SUM(F11:F15)</f>
        <v>0</v>
      </c>
      <c r="G16" s="592"/>
      <c r="H16" s="593"/>
    </row>
    <row r="17" spans="1:15" ht="18" customHeight="1" thickTop="1" x14ac:dyDescent="0.2">
      <c r="B17" s="555" t="s">
        <v>1406</v>
      </c>
      <c r="C17" s="564"/>
      <c r="D17" s="565"/>
      <c r="E17" s="583"/>
      <c r="F17" s="591">
        <f>SUM(F11,F12,F13,F14)</f>
        <v>0</v>
      </c>
      <c r="G17" s="594"/>
      <c r="H17" s="595"/>
    </row>
    <row r="18" spans="1:15" ht="18" customHeight="1" thickBot="1" x14ac:dyDescent="0.25">
      <c r="B18" s="552" t="s">
        <v>1407</v>
      </c>
      <c r="C18" s="563"/>
      <c r="D18" s="563"/>
      <c r="E18" s="563"/>
      <c r="F18" s="579">
        <f>F15</f>
        <v>0</v>
      </c>
      <c r="G18" s="596"/>
      <c r="H18" s="597"/>
    </row>
    <row r="19" spans="1:15" ht="18" customHeight="1" thickTop="1" x14ac:dyDescent="0.2">
      <c r="J19" s="562"/>
    </row>
    <row r="20" spans="1:15" ht="18" customHeight="1" x14ac:dyDescent="0.2">
      <c r="B20" s="537" t="s">
        <v>1403</v>
      </c>
      <c r="C20" s="538"/>
      <c r="D20" s="538"/>
      <c r="E20" s="538"/>
      <c r="F20" s="539" t="s">
        <v>4</v>
      </c>
      <c r="G20" s="539" t="s">
        <v>189</v>
      </c>
      <c r="H20" s="540" t="str">
        <f>"m³ je "&amp;J8&amp;" Monate"</f>
        <v>m³ je 3 Monate</v>
      </c>
      <c r="J20" s="325" t="s">
        <v>206</v>
      </c>
      <c r="K20" s="325" t="s">
        <v>0</v>
      </c>
    </row>
    <row r="21" spans="1:15" ht="18" customHeight="1" x14ac:dyDescent="0.2">
      <c r="B21" s="541"/>
      <c r="C21" s="479" t="s">
        <v>1408</v>
      </c>
      <c r="D21" s="479"/>
      <c r="E21" s="479"/>
      <c r="F21" s="480">
        <f>Sickersaft!L56</f>
        <v>0</v>
      </c>
      <c r="G21" s="471">
        <f>F21</f>
        <v>0</v>
      </c>
      <c r="H21" s="542">
        <f>F21</f>
        <v>0</v>
      </c>
      <c r="J21" s="561">
        <f>F22+F24</f>
        <v>0</v>
      </c>
      <c r="K21" s="561">
        <f>F21+F23</f>
        <v>0</v>
      </c>
    </row>
    <row r="22" spans="1:15" ht="18" customHeight="1" x14ac:dyDescent="0.2">
      <c r="B22" s="541"/>
      <c r="C22" s="479" t="s">
        <v>1409</v>
      </c>
      <c r="D22" s="479"/>
      <c r="E22" s="479"/>
      <c r="F22" s="480">
        <f>Sickersaft!L57</f>
        <v>0</v>
      </c>
      <c r="G22" s="471">
        <f>F22</f>
        <v>0</v>
      </c>
      <c r="H22" s="542">
        <f>F22</f>
        <v>0</v>
      </c>
      <c r="J22" s="325" t="s">
        <v>225</v>
      </c>
      <c r="K22" s="325"/>
    </row>
    <row r="23" spans="1:15" ht="18" customHeight="1" x14ac:dyDescent="0.2">
      <c r="B23" s="543"/>
      <c r="C23" s="324" t="s">
        <v>1415</v>
      </c>
      <c r="D23" s="324"/>
      <c r="E23" s="324"/>
      <c r="F23" s="457">
        <f>G23*12</f>
        <v>0</v>
      </c>
      <c r="G23" s="471">
        <f>Sickersaft!L59</f>
        <v>0</v>
      </c>
      <c r="H23" s="542">
        <f>G23*$J$8</f>
        <v>0</v>
      </c>
      <c r="J23" s="598">
        <f>(G24+G26)*3+G22</f>
        <v>0</v>
      </c>
      <c r="K23" s="325"/>
      <c r="N23" s="325"/>
      <c r="O23" s="325"/>
    </row>
    <row r="24" spans="1:15" ht="18" customHeight="1" x14ac:dyDescent="0.2">
      <c r="B24" s="543"/>
      <c r="C24" s="324" t="s">
        <v>1416</v>
      </c>
      <c r="D24" s="324"/>
      <c r="E24" s="324"/>
      <c r="F24" s="457">
        <f>G24*12</f>
        <v>0</v>
      </c>
      <c r="G24" s="472">
        <f>Sickersaft!L60</f>
        <v>0</v>
      </c>
      <c r="H24" s="542">
        <f>G24*3</f>
        <v>0</v>
      </c>
    </row>
    <row r="25" spans="1:15" ht="18" customHeight="1" x14ac:dyDescent="0.2">
      <c r="B25" s="543"/>
      <c r="C25" s="314" t="s">
        <v>1410</v>
      </c>
      <c r="D25" s="314"/>
      <c r="E25" s="315"/>
      <c r="F25" s="457">
        <f>'Weitere Zuflüsse'!I40</f>
        <v>0</v>
      </c>
      <c r="G25" s="457">
        <f>'Weitere Zuflüsse'!I43</f>
        <v>0</v>
      </c>
      <c r="H25" s="544">
        <f>G25*$J$8</f>
        <v>0</v>
      </c>
      <c r="J25" s="327"/>
    </row>
    <row r="26" spans="1:15" ht="18" customHeight="1" thickBot="1" x14ac:dyDescent="0.25">
      <c r="B26" s="545"/>
      <c r="C26" s="546" t="s">
        <v>1411</v>
      </c>
      <c r="D26" s="547"/>
      <c r="E26" s="548"/>
      <c r="F26" s="549">
        <f>'Weitere Zuflüsse'!I41</f>
        <v>0</v>
      </c>
      <c r="G26" s="549">
        <f>'Weitere Zuflüsse'!I44</f>
        <v>0</v>
      </c>
      <c r="H26" s="550">
        <f>G26*3</f>
        <v>0</v>
      </c>
      <c r="J26" s="327"/>
    </row>
    <row r="27" spans="1:15" ht="18" customHeight="1" thickTop="1" thickBot="1" x14ac:dyDescent="0.25">
      <c r="B27" s="321" t="s">
        <v>1404</v>
      </c>
      <c r="C27" s="322"/>
      <c r="D27" s="322"/>
      <c r="E27" s="322"/>
      <c r="F27" s="326">
        <f>SUM(F21:F26)</f>
        <v>0</v>
      </c>
      <c r="G27" s="326">
        <f>SUM(G21:G26)</f>
        <v>0</v>
      </c>
      <c r="H27" s="326">
        <f>SUM(H21:H26)</f>
        <v>0</v>
      </c>
      <c r="J27" s="327"/>
    </row>
    <row r="28" spans="1:15" ht="18" customHeight="1" thickTop="1" x14ac:dyDescent="0.2">
      <c r="B28" s="555" t="s">
        <v>223</v>
      </c>
      <c r="C28" s="564"/>
      <c r="D28" s="565"/>
      <c r="E28" s="583" t="s">
        <v>1402</v>
      </c>
      <c r="F28" s="578">
        <f>SUM(F21,F23,F25)</f>
        <v>0</v>
      </c>
      <c r="G28" s="578">
        <f>F28/12</f>
        <v>0</v>
      </c>
      <c r="H28" s="622">
        <f>G28*J8</f>
        <v>0</v>
      </c>
      <c r="J28" s="327"/>
    </row>
    <row r="29" spans="1:15" ht="18" customHeight="1" thickBot="1" x14ac:dyDescent="0.25">
      <c r="B29" s="552" t="s">
        <v>1407</v>
      </c>
      <c r="C29" s="563"/>
      <c r="D29" s="563"/>
      <c r="E29" s="563"/>
      <c r="F29" s="579">
        <f>SUM(F22,F24,F26)</f>
        <v>0</v>
      </c>
      <c r="G29" s="579">
        <f>G24+G26+G22</f>
        <v>0</v>
      </c>
      <c r="H29" s="580">
        <f>H22+H24+H26</f>
        <v>0</v>
      </c>
      <c r="J29" s="327"/>
    </row>
    <row r="30" spans="1:15" ht="18" customHeight="1" thickTop="1" x14ac:dyDescent="0.2">
      <c r="J30" s="562"/>
    </row>
    <row r="31" spans="1:15" ht="18" customHeight="1" x14ac:dyDescent="0.2">
      <c r="A31" s="335"/>
      <c r="B31" s="302" t="s">
        <v>90</v>
      </c>
      <c r="J31" s="590"/>
    </row>
    <row r="32" spans="1:15" ht="15.75" thickBot="1" x14ac:dyDescent="0.25">
      <c r="F32" s="303" t="s">
        <v>85</v>
      </c>
      <c r="G32" s="303"/>
      <c r="H32" s="604"/>
    </row>
    <row r="33" spans="1:15" ht="18" customHeight="1" x14ac:dyDescent="0.2">
      <c r="B33" s="305" t="s">
        <v>25</v>
      </c>
      <c r="C33" s="306"/>
      <c r="D33" s="306"/>
      <c r="E33" s="306"/>
      <c r="F33" s="329" t="s">
        <v>4</v>
      </c>
      <c r="G33" s="329"/>
      <c r="H33" s="330"/>
    </row>
    <row r="34" spans="1:15" ht="18" customHeight="1" x14ac:dyDescent="0.2">
      <c r="B34" s="331"/>
      <c r="C34" s="311" t="s">
        <v>75</v>
      </c>
      <c r="D34" s="311"/>
      <c r="E34" s="311"/>
      <c r="F34" s="312">
        <f>'Kapazitäten fest'!J14</f>
        <v>0</v>
      </c>
      <c r="G34" s="730"/>
      <c r="H34" s="731"/>
    </row>
    <row r="35" spans="1:15" ht="18" customHeight="1" x14ac:dyDescent="0.2">
      <c r="B35" s="332"/>
      <c r="C35" s="507" t="s">
        <v>238</v>
      </c>
      <c r="D35" s="315"/>
      <c r="E35" s="315"/>
      <c r="F35" s="316">
        <f>'Kapazitäten fest'!J17</f>
        <v>0</v>
      </c>
      <c r="G35" s="732"/>
      <c r="H35" s="733"/>
    </row>
    <row r="36" spans="1:15" ht="18" customHeight="1" thickBot="1" x14ac:dyDescent="0.25">
      <c r="B36" s="332"/>
      <c r="C36" s="507" t="s">
        <v>237</v>
      </c>
      <c r="D36" s="315"/>
      <c r="E36" s="315"/>
      <c r="F36" s="316">
        <f>'Kapazitäten fest'!J18*-1</f>
        <v>0</v>
      </c>
      <c r="G36" s="734"/>
      <c r="H36" s="735"/>
    </row>
    <row r="37" spans="1:15" ht="18" customHeight="1" thickTop="1" thickBot="1" x14ac:dyDescent="0.25">
      <c r="B37" s="321" t="s">
        <v>22</v>
      </c>
      <c r="C37" s="322"/>
      <c r="D37" s="322"/>
      <c r="E37" s="322"/>
      <c r="F37" s="323">
        <f>SUM(F33:F36)</f>
        <v>0</v>
      </c>
      <c r="G37" s="621"/>
      <c r="H37" s="593"/>
      <c r="L37" s="327"/>
      <c r="M37" s="333"/>
      <c r="N37" s="560"/>
      <c r="O37" s="333"/>
    </row>
    <row r="38" spans="1:15" ht="9" customHeight="1" thickTop="1" x14ac:dyDescent="0.2">
      <c r="L38" s="327"/>
      <c r="M38" s="333"/>
      <c r="N38" s="560"/>
      <c r="O38" s="333"/>
    </row>
    <row r="40" spans="1:15" ht="9" customHeight="1" x14ac:dyDescent="0.2">
      <c r="A40" s="335"/>
    </row>
    <row r="42" spans="1:15" x14ac:dyDescent="0.2">
      <c r="G42" s="462"/>
    </row>
  </sheetData>
  <sheetProtection password="DE9F" sheet="1" objects="1" scenarios="1"/>
  <dataConsolidate/>
  <mergeCells count="5">
    <mergeCell ref="B5:D5"/>
    <mergeCell ref="F5:H5"/>
    <mergeCell ref="G11:H13"/>
    <mergeCell ref="G14:H15"/>
    <mergeCell ref="G34:H36"/>
  </mergeCells>
  <printOptions horizontalCentered="1"/>
  <pageMargins left="0.59055118110236227" right="0.59055118110236227" top="0.59055118110236227" bottom="0.59055118110236227" header="0.31496062992125984" footer="0.39370078740157483"/>
  <pageSetup paperSize="9" scale="79" orientation="portrait" r:id="rId1"/>
  <headerFooter>
    <oddFooter>&amp;L&amp;8LEL Schwäbisch Gmünd, Ref. 31;
Dr. Hansjörg Nußbaum, LAZBW Aulendorf&amp;C&amp;8FRANSI
&amp;A&amp;R&amp;8Version 1.0
letzte Bearbeitung: &amp;D</oddFooter>
  </headerFooter>
  <ignoredErrors>
    <ignoredError sqref="H9" unlockedFormula="1"/>
    <ignoredError sqref="H24"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Scroll Bar 1">
              <controlPr defaultSize="0" print="0" autoPict="0">
                <anchor>
                  <from>
                    <xdr:col>7</xdr:col>
                    <xdr:colOff>0</xdr:colOff>
                    <xdr:row>6</xdr:row>
                    <xdr:rowOff>219075</xdr:rowOff>
                  </from>
                  <to>
                    <xdr:col>8</xdr:col>
                    <xdr:colOff>0</xdr:colOff>
                    <xdr:row>7</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06F9A012-6941-4B3C-8F38-408DAEEB7A2F}">
            <xm:f>Tabelle2!$B$1&gt;=Tabelle2!$B$2</xm:f>
            <x14:dxf>
              <fill>
                <patternFill>
                  <bgColor theme="1"/>
                </patternFill>
              </fill>
            </x14:dxf>
          </x14:cfRule>
          <xm:sqref>B3:H4 F6:H6 E5:F5 B6:C6 B5 B7:H10 B11:G11 G14 B12:F15 B34:F36 B37:H39 B16:H16 C28:H29 B20:H27 B31:H33</xm:sqref>
        </x14:conditionalFormatting>
        <x14:conditionalFormatting xmlns:xm="http://schemas.microsoft.com/office/excel/2006/main">
          <x14:cfRule type="expression" priority="2" id="{AB7438AA-A04B-4B50-A739-A0237DE11A41}">
            <xm:f>Tabelle2!$B$1&gt;=Tabelle2!$B$2</xm:f>
            <x14:dxf>
              <fill>
                <patternFill>
                  <bgColor theme="1"/>
                </patternFill>
              </fill>
            </x14:dxf>
          </x14:cfRule>
          <xm:sqref>C17:H18</xm:sqref>
        </x14:conditionalFormatting>
        <x14:conditionalFormatting xmlns:xm="http://schemas.microsoft.com/office/excel/2006/main">
          <x14:cfRule type="expression" priority="1" id="{12ED3D2F-D5D2-47E1-B06A-D0BAA0CF7D7D}">
            <xm:f>Tabelle2!$B$1&gt;=Tabelle2!$B$2</xm:f>
            <x14:dxf>
              <fill>
                <patternFill>
                  <bgColor theme="1"/>
                </patternFill>
              </fill>
            </x14:dxf>
          </x14:cfRule>
          <xm:sqref>G34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13"/>
  <sheetViews>
    <sheetView zoomScaleNormal="100" workbookViewId="0">
      <pane ySplit="4" topLeftCell="A5" activePane="bottomLeft" state="frozen"/>
      <selection activeCell="D62" sqref="D62"/>
      <selection pane="bottomLeft"/>
    </sheetView>
  </sheetViews>
  <sheetFormatPr baseColWidth="10" defaultColWidth="11" defaultRowHeight="15" x14ac:dyDescent="0.2"/>
  <cols>
    <col min="1" max="1" width="1.625" customWidth="1"/>
    <col min="2" max="2" width="12.875" style="511" customWidth="1"/>
    <col min="3" max="3" width="32.25" style="510" bestFit="1" customWidth="1"/>
    <col min="4" max="4" width="11" style="511"/>
    <col min="5" max="5" width="23.75" style="510" bestFit="1" customWidth="1"/>
    <col min="6" max="6" width="19.625" style="512" customWidth="1"/>
    <col min="7" max="7" width="19.625" style="513" customWidth="1"/>
    <col min="8" max="16384" width="11" style="510"/>
  </cols>
  <sheetData>
    <row r="1" spans="1:7" ht="20.25" x14ac:dyDescent="0.3">
      <c r="A1" s="453"/>
      <c r="B1" s="509" t="s">
        <v>241</v>
      </c>
      <c r="F1" s="520"/>
      <c r="G1" s="520"/>
    </row>
    <row r="2" spans="1:7" ht="18" x14ac:dyDescent="0.25">
      <c r="B2" s="514" t="s">
        <v>242</v>
      </c>
      <c r="F2" s="520"/>
      <c r="G2" s="520"/>
    </row>
    <row r="4" spans="1:7" ht="15.75" x14ac:dyDescent="0.25">
      <c r="B4" s="515" t="s">
        <v>243</v>
      </c>
      <c r="C4" s="516" t="s">
        <v>244</v>
      </c>
      <c r="D4" s="515" t="s">
        <v>245</v>
      </c>
      <c r="E4" s="516" t="s">
        <v>246</v>
      </c>
      <c r="F4" s="516" t="s">
        <v>247</v>
      </c>
      <c r="G4" s="517" t="s">
        <v>248</v>
      </c>
    </row>
    <row r="5" spans="1:7" x14ac:dyDescent="0.2">
      <c r="A5" s="453"/>
      <c r="B5" s="521">
        <v>111000</v>
      </c>
      <c r="C5" s="266" t="s">
        <v>249</v>
      </c>
      <c r="D5" s="521">
        <v>111</v>
      </c>
      <c r="E5" s="266" t="s">
        <v>250</v>
      </c>
      <c r="F5" s="522">
        <v>9.9</v>
      </c>
      <c r="G5" s="523">
        <v>760.48823529399999</v>
      </c>
    </row>
    <row r="6" spans="1:7" x14ac:dyDescent="0.2">
      <c r="B6" s="521">
        <v>115001</v>
      </c>
      <c r="C6" s="266" t="s">
        <v>251</v>
      </c>
      <c r="D6" s="521">
        <v>115</v>
      </c>
      <c r="E6" s="266" t="s">
        <v>252</v>
      </c>
      <c r="F6" s="522">
        <v>8.6</v>
      </c>
      <c r="G6" s="523">
        <v>833.83720930200002</v>
      </c>
    </row>
    <row r="7" spans="1:7" x14ac:dyDescent="0.2">
      <c r="B7" s="521">
        <v>115002</v>
      </c>
      <c r="C7" s="266" t="s">
        <v>253</v>
      </c>
      <c r="D7" s="521">
        <v>115</v>
      </c>
      <c r="E7" s="266" t="s">
        <v>252</v>
      </c>
      <c r="F7" s="522">
        <v>8.65</v>
      </c>
      <c r="G7" s="523">
        <v>839.771428571</v>
      </c>
    </row>
    <row r="8" spans="1:7" x14ac:dyDescent="0.2">
      <c r="B8" s="521">
        <v>115003</v>
      </c>
      <c r="C8" s="266" t="s">
        <v>254</v>
      </c>
      <c r="D8" s="521">
        <v>115</v>
      </c>
      <c r="E8" s="266" t="s">
        <v>252</v>
      </c>
      <c r="F8" s="522">
        <v>8.9499999999999993</v>
      </c>
      <c r="G8" s="523">
        <v>791.0625</v>
      </c>
    </row>
    <row r="9" spans="1:7" x14ac:dyDescent="0.2">
      <c r="B9" s="521">
        <v>115004</v>
      </c>
      <c r="C9" s="266" t="s">
        <v>255</v>
      </c>
      <c r="D9" s="521">
        <v>115</v>
      </c>
      <c r="E9" s="266" t="s">
        <v>252</v>
      </c>
      <c r="F9" s="522">
        <v>8.68</v>
      </c>
      <c r="G9" s="523">
        <v>805.62962962999995</v>
      </c>
    </row>
    <row r="10" spans="1:7" x14ac:dyDescent="0.2">
      <c r="B10" s="521">
        <v>115010</v>
      </c>
      <c r="C10" s="266" t="s">
        <v>256</v>
      </c>
      <c r="D10" s="521">
        <v>115</v>
      </c>
      <c r="E10" s="266" t="s">
        <v>252</v>
      </c>
      <c r="F10" s="522">
        <v>8.25</v>
      </c>
      <c r="G10" s="523">
        <v>852.77777777799997</v>
      </c>
    </row>
    <row r="11" spans="1:7" x14ac:dyDescent="0.2">
      <c r="B11" s="521">
        <v>115013</v>
      </c>
      <c r="C11" s="266" t="s">
        <v>257</v>
      </c>
      <c r="D11" s="521">
        <v>115</v>
      </c>
      <c r="E11" s="266" t="s">
        <v>252</v>
      </c>
      <c r="F11" s="522">
        <v>8.6999999999999993</v>
      </c>
      <c r="G11" s="523">
        <v>786.88888888899999</v>
      </c>
    </row>
    <row r="12" spans="1:7" x14ac:dyDescent="0.2">
      <c r="B12" s="521">
        <v>115015</v>
      </c>
      <c r="C12" s="266" t="s">
        <v>258</v>
      </c>
      <c r="D12" s="521">
        <v>115</v>
      </c>
      <c r="E12" s="266" t="s">
        <v>252</v>
      </c>
      <c r="F12" s="522">
        <v>8.6</v>
      </c>
      <c r="G12" s="523">
        <v>781.40540540500001</v>
      </c>
    </row>
    <row r="13" spans="1:7" x14ac:dyDescent="0.2">
      <c r="B13" s="521">
        <v>115016</v>
      </c>
      <c r="C13" s="266" t="s">
        <v>259</v>
      </c>
      <c r="D13" s="521">
        <v>115</v>
      </c>
      <c r="E13" s="266" t="s">
        <v>252</v>
      </c>
      <c r="F13" s="522">
        <v>8.6999999999999993</v>
      </c>
      <c r="G13" s="523">
        <v>815.82857142900002</v>
      </c>
    </row>
    <row r="14" spans="1:7" x14ac:dyDescent="0.2">
      <c r="B14" s="521">
        <v>115021</v>
      </c>
      <c r="C14" s="266" t="s">
        <v>260</v>
      </c>
      <c r="D14" s="521">
        <v>115</v>
      </c>
      <c r="E14" s="266" t="s">
        <v>252</v>
      </c>
      <c r="F14" s="522">
        <v>8.5500000000000007</v>
      </c>
      <c r="G14" s="523">
        <v>823.68604651199996</v>
      </c>
    </row>
    <row r="15" spans="1:7" x14ac:dyDescent="0.2">
      <c r="B15" s="521">
        <v>115022</v>
      </c>
      <c r="C15" s="266" t="s">
        <v>261</v>
      </c>
      <c r="D15" s="521">
        <v>115</v>
      </c>
      <c r="E15" s="266" t="s">
        <v>252</v>
      </c>
      <c r="F15" s="522">
        <v>8.65</v>
      </c>
      <c r="G15" s="523">
        <v>801.09523809500001</v>
      </c>
    </row>
    <row r="16" spans="1:7" x14ac:dyDescent="0.2">
      <c r="B16" s="521">
        <v>115024</v>
      </c>
      <c r="C16" s="266" t="s">
        <v>262</v>
      </c>
      <c r="D16" s="521">
        <v>115</v>
      </c>
      <c r="E16" s="266" t="s">
        <v>252</v>
      </c>
      <c r="F16" s="522">
        <v>8.7375000000000007</v>
      </c>
      <c r="G16" s="523">
        <v>820.22727272700001</v>
      </c>
    </row>
    <row r="17" spans="1:7" x14ac:dyDescent="0.2">
      <c r="B17" s="521">
        <v>115028</v>
      </c>
      <c r="C17" s="266" t="s">
        <v>263</v>
      </c>
      <c r="D17" s="521">
        <v>115</v>
      </c>
      <c r="E17" s="266" t="s">
        <v>252</v>
      </c>
      <c r="F17" s="522">
        <v>9.4</v>
      </c>
      <c r="G17" s="523">
        <v>781.47619047600006</v>
      </c>
    </row>
    <row r="18" spans="1:7" x14ac:dyDescent="0.2">
      <c r="B18" s="521">
        <v>115029</v>
      </c>
      <c r="C18" s="266" t="s">
        <v>264</v>
      </c>
      <c r="D18" s="521">
        <v>115</v>
      </c>
      <c r="E18" s="266" t="s">
        <v>252</v>
      </c>
      <c r="F18" s="522">
        <v>8.9499999999999993</v>
      </c>
      <c r="G18" s="523">
        <v>798.42307692300005</v>
      </c>
    </row>
    <row r="19" spans="1:7" x14ac:dyDescent="0.2">
      <c r="B19" s="521">
        <v>115034</v>
      </c>
      <c r="C19" s="266" t="s">
        <v>265</v>
      </c>
      <c r="D19" s="521">
        <v>115</v>
      </c>
      <c r="E19" s="266" t="s">
        <v>252</v>
      </c>
      <c r="F19" s="522">
        <v>8.4</v>
      </c>
      <c r="G19" s="523">
        <v>862.4375</v>
      </c>
    </row>
    <row r="20" spans="1:7" x14ac:dyDescent="0.2">
      <c r="B20" s="521">
        <v>115037</v>
      </c>
      <c r="C20" s="266" t="s">
        <v>266</v>
      </c>
      <c r="D20" s="521">
        <v>115</v>
      </c>
      <c r="E20" s="266" t="s">
        <v>252</v>
      </c>
      <c r="F20" s="522">
        <v>8.65</v>
      </c>
      <c r="G20" s="523">
        <v>765.85714285699999</v>
      </c>
    </row>
    <row r="21" spans="1:7" x14ac:dyDescent="0.2">
      <c r="B21" s="521">
        <v>115041</v>
      </c>
      <c r="C21" s="266" t="s">
        <v>267</v>
      </c>
      <c r="D21" s="521">
        <v>115</v>
      </c>
      <c r="E21" s="266" t="s">
        <v>252</v>
      </c>
      <c r="F21" s="522">
        <v>9.0111111111100008</v>
      </c>
      <c r="G21" s="523">
        <v>782.08888888900003</v>
      </c>
    </row>
    <row r="22" spans="1:7" x14ac:dyDescent="0.2">
      <c r="B22" s="521">
        <v>115042</v>
      </c>
      <c r="C22" s="266" t="s">
        <v>268</v>
      </c>
      <c r="D22" s="521">
        <v>115</v>
      </c>
      <c r="E22" s="266" t="s">
        <v>252</v>
      </c>
      <c r="F22" s="522">
        <v>9.1</v>
      </c>
      <c r="G22" s="523">
        <v>793.67857142900004</v>
      </c>
    </row>
    <row r="23" spans="1:7" x14ac:dyDescent="0.2">
      <c r="B23" s="521">
        <v>115044</v>
      </c>
      <c r="C23" s="266" t="s">
        <v>269</v>
      </c>
      <c r="D23" s="521">
        <v>115</v>
      </c>
      <c r="E23" s="266" t="s">
        <v>252</v>
      </c>
      <c r="F23" s="522">
        <v>9.0500000000000007</v>
      </c>
      <c r="G23" s="523">
        <v>776.61111111100001</v>
      </c>
    </row>
    <row r="24" spans="1:7" x14ac:dyDescent="0.2">
      <c r="B24" s="521">
        <v>115045</v>
      </c>
      <c r="C24" s="266" t="s">
        <v>270</v>
      </c>
      <c r="D24" s="521">
        <v>115</v>
      </c>
      <c r="E24" s="266" t="s">
        <v>252</v>
      </c>
      <c r="F24" s="522">
        <v>8.9</v>
      </c>
      <c r="G24" s="523">
        <v>803.75362318800001</v>
      </c>
    </row>
    <row r="25" spans="1:7" x14ac:dyDescent="0.2">
      <c r="B25" s="521">
        <v>115046</v>
      </c>
      <c r="C25" s="266" t="s">
        <v>271</v>
      </c>
      <c r="D25" s="521">
        <v>115</v>
      </c>
      <c r="E25" s="266" t="s">
        <v>252</v>
      </c>
      <c r="F25" s="522">
        <v>9.15</v>
      </c>
      <c r="G25" s="523">
        <v>783.72222222200003</v>
      </c>
    </row>
    <row r="26" spans="1:7" x14ac:dyDescent="0.2">
      <c r="B26" s="521">
        <v>115048</v>
      </c>
      <c r="C26" s="266" t="s">
        <v>272</v>
      </c>
      <c r="D26" s="521">
        <v>115</v>
      </c>
      <c r="E26" s="266" t="s">
        <v>252</v>
      </c>
      <c r="F26" s="522">
        <v>9.1999999999999993</v>
      </c>
      <c r="G26" s="523">
        <v>806.74418604699997</v>
      </c>
    </row>
    <row r="27" spans="1:7" x14ac:dyDescent="0.2">
      <c r="B27" s="521">
        <v>115050</v>
      </c>
      <c r="C27" s="266" t="s">
        <v>273</v>
      </c>
      <c r="D27" s="521">
        <v>115</v>
      </c>
      <c r="E27" s="266" t="s">
        <v>252</v>
      </c>
      <c r="F27" s="522">
        <v>8.8000000000000007</v>
      </c>
      <c r="G27" s="523">
        <v>830.66666666699996</v>
      </c>
    </row>
    <row r="28" spans="1:7" x14ac:dyDescent="0.2">
      <c r="B28" s="521">
        <v>115051</v>
      </c>
      <c r="C28" s="266" t="s">
        <v>274</v>
      </c>
      <c r="D28" s="521">
        <v>115</v>
      </c>
      <c r="E28" s="266" t="s">
        <v>252</v>
      </c>
      <c r="F28" s="522">
        <v>9</v>
      </c>
      <c r="G28" s="523">
        <v>812.59523809500001</v>
      </c>
    </row>
    <row r="29" spans="1:7" x14ac:dyDescent="0.2">
      <c r="B29" s="521">
        <v>115052</v>
      </c>
      <c r="C29" s="266" t="s">
        <v>275</v>
      </c>
      <c r="D29" s="521">
        <v>115</v>
      </c>
      <c r="E29" s="266" t="s">
        <v>252</v>
      </c>
      <c r="F29" s="522">
        <v>9.4111111111099994</v>
      </c>
      <c r="G29" s="523">
        <v>810</v>
      </c>
    </row>
    <row r="30" spans="1:7" x14ac:dyDescent="0.2">
      <c r="A30" s="453"/>
      <c r="B30" s="521">
        <v>115053</v>
      </c>
      <c r="C30" s="266" t="s">
        <v>276</v>
      </c>
      <c r="D30" s="521">
        <v>115</v>
      </c>
      <c r="E30" s="266" t="s">
        <v>252</v>
      </c>
      <c r="F30" s="522">
        <v>8.1999999999999993</v>
      </c>
      <c r="G30" s="523">
        <v>916.15384615400001</v>
      </c>
    </row>
    <row r="31" spans="1:7" x14ac:dyDescent="0.2">
      <c r="B31" s="524">
        <v>115054</v>
      </c>
      <c r="C31" s="525" t="s">
        <v>277</v>
      </c>
      <c r="D31" s="524">
        <v>115</v>
      </c>
      <c r="E31" s="525" t="s">
        <v>252</v>
      </c>
      <c r="F31" s="526">
        <v>8.85</v>
      </c>
      <c r="G31" s="527">
        <v>844.96</v>
      </c>
    </row>
    <row r="32" spans="1:7" x14ac:dyDescent="0.2">
      <c r="B32" s="521">
        <v>116004</v>
      </c>
      <c r="C32" s="266" t="s">
        <v>278</v>
      </c>
      <c r="D32" s="521">
        <v>116</v>
      </c>
      <c r="E32" s="266" t="s">
        <v>279</v>
      </c>
      <c r="F32" s="522">
        <v>9.8125</v>
      </c>
      <c r="G32" s="523">
        <v>845.44444444400006</v>
      </c>
    </row>
    <row r="33" spans="2:7" x14ac:dyDescent="0.2">
      <c r="B33" s="521">
        <v>116005</v>
      </c>
      <c r="C33" s="266" t="s">
        <v>253</v>
      </c>
      <c r="D33" s="521">
        <v>116</v>
      </c>
      <c r="E33" s="266" t="s">
        <v>279</v>
      </c>
      <c r="F33" s="522">
        <v>9.5</v>
      </c>
      <c r="G33" s="523">
        <v>830</v>
      </c>
    </row>
    <row r="34" spans="2:7" x14ac:dyDescent="0.2">
      <c r="B34" s="521">
        <v>116006</v>
      </c>
      <c r="C34" s="266" t="s">
        <v>280</v>
      </c>
      <c r="D34" s="521">
        <v>116</v>
      </c>
      <c r="E34" s="266" t="s">
        <v>279</v>
      </c>
      <c r="F34" s="522">
        <v>9.3285714285699992</v>
      </c>
      <c r="G34" s="523">
        <v>878.92857142900004</v>
      </c>
    </row>
    <row r="35" spans="2:7" x14ac:dyDescent="0.2">
      <c r="B35" s="521">
        <v>116007</v>
      </c>
      <c r="C35" s="266" t="s">
        <v>281</v>
      </c>
      <c r="D35" s="521">
        <v>116</v>
      </c>
      <c r="E35" s="266" t="s">
        <v>279</v>
      </c>
      <c r="F35" s="522">
        <v>9.36</v>
      </c>
      <c r="G35" s="523">
        <v>915.96428571399997</v>
      </c>
    </row>
    <row r="36" spans="2:7" x14ac:dyDescent="0.2">
      <c r="B36" s="521">
        <v>116008</v>
      </c>
      <c r="C36" s="266" t="s">
        <v>282</v>
      </c>
      <c r="D36" s="521">
        <v>116</v>
      </c>
      <c r="E36" s="266" t="s">
        <v>279</v>
      </c>
      <c r="F36" s="522">
        <v>9.5500000000000007</v>
      </c>
      <c r="G36" s="523">
        <v>833.7</v>
      </c>
    </row>
    <row r="37" spans="2:7" x14ac:dyDescent="0.2">
      <c r="B37" s="521">
        <v>116011</v>
      </c>
      <c r="C37" s="266" t="s">
        <v>283</v>
      </c>
      <c r="D37" s="521">
        <v>116</v>
      </c>
      <c r="E37" s="266" t="s">
        <v>279</v>
      </c>
      <c r="F37" s="522">
        <v>8.8545454545499993</v>
      </c>
      <c r="G37" s="523">
        <v>956.74074074099997</v>
      </c>
    </row>
    <row r="38" spans="2:7" x14ac:dyDescent="0.2">
      <c r="B38" s="521">
        <v>116012</v>
      </c>
      <c r="C38" s="266" t="s">
        <v>284</v>
      </c>
      <c r="D38" s="521">
        <v>116</v>
      </c>
      <c r="E38" s="266" t="s">
        <v>279</v>
      </c>
      <c r="F38" s="522">
        <v>8.3666666666699996</v>
      </c>
      <c r="G38" s="523">
        <v>1090.43478261</v>
      </c>
    </row>
    <row r="39" spans="2:7" x14ac:dyDescent="0.2">
      <c r="B39" s="521">
        <v>116014</v>
      </c>
      <c r="C39" s="266" t="s">
        <v>285</v>
      </c>
      <c r="D39" s="521">
        <v>116</v>
      </c>
      <c r="E39" s="266" t="s">
        <v>279</v>
      </c>
      <c r="F39" s="522">
        <v>9.9285714285700006</v>
      </c>
      <c r="G39" s="523">
        <v>824.41666666699996</v>
      </c>
    </row>
    <row r="40" spans="2:7" x14ac:dyDescent="0.2">
      <c r="B40" s="521">
        <v>116015</v>
      </c>
      <c r="C40" s="266" t="s">
        <v>286</v>
      </c>
      <c r="D40" s="521">
        <v>116</v>
      </c>
      <c r="E40" s="266" t="s">
        <v>279</v>
      </c>
      <c r="F40" s="522">
        <v>9.8000000000000007</v>
      </c>
      <c r="G40" s="523">
        <v>790.15384615400001</v>
      </c>
    </row>
    <row r="41" spans="2:7" x14ac:dyDescent="0.2">
      <c r="B41" s="521">
        <v>116016</v>
      </c>
      <c r="C41" s="266" t="s">
        <v>287</v>
      </c>
      <c r="D41" s="521">
        <v>116</v>
      </c>
      <c r="E41" s="266" t="s">
        <v>279</v>
      </c>
      <c r="F41" s="522">
        <v>9.1222222222199996</v>
      </c>
      <c r="G41" s="523">
        <v>914.75</v>
      </c>
    </row>
    <row r="42" spans="2:7" x14ac:dyDescent="0.2">
      <c r="B42" s="521">
        <v>116018</v>
      </c>
      <c r="C42" s="266" t="s">
        <v>288</v>
      </c>
      <c r="D42" s="521">
        <v>116</v>
      </c>
      <c r="E42" s="266" t="s">
        <v>279</v>
      </c>
      <c r="F42" s="522">
        <v>8.3916666666699999</v>
      </c>
      <c r="G42" s="523">
        <v>1082.2</v>
      </c>
    </row>
    <row r="43" spans="2:7" x14ac:dyDescent="0.2">
      <c r="B43" s="521">
        <v>116019</v>
      </c>
      <c r="C43" s="266" t="s">
        <v>289</v>
      </c>
      <c r="D43" s="521">
        <v>116</v>
      </c>
      <c r="E43" s="266" t="s">
        <v>279</v>
      </c>
      <c r="F43" s="522">
        <v>9.8625000000000007</v>
      </c>
      <c r="G43" s="523">
        <v>830.75</v>
      </c>
    </row>
    <row r="44" spans="2:7" x14ac:dyDescent="0.2">
      <c r="B44" s="521">
        <v>116020</v>
      </c>
      <c r="C44" s="266" t="s">
        <v>290</v>
      </c>
      <c r="D44" s="521">
        <v>116</v>
      </c>
      <c r="E44" s="266" t="s">
        <v>279</v>
      </c>
      <c r="F44" s="522">
        <v>9.4</v>
      </c>
      <c r="G44" s="523">
        <v>856.77272727299999</v>
      </c>
    </row>
    <row r="45" spans="2:7" x14ac:dyDescent="0.2">
      <c r="B45" s="521">
        <v>116022</v>
      </c>
      <c r="C45" s="266" t="s">
        <v>291</v>
      </c>
      <c r="D45" s="521">
        <v>116</v>
      </c>
      <c r="E45" s="266" t="s">
        <v>279</v>
      </c>
      <c r="F45" s="522">
        <v>9.5500000000000007</v>
      </c>
      <c r="G45" s="523">
        <v>827.18181818200003</v>
      </c>
    </row>
    <row r="46" spans="2:7" x14ac:dyDescent="0.2">
      <c r="B46" s="521">
        <v>116027</v>
      </c>
      <c r="C46" s="266" t="s">
        <v>292</v>
      </c>
      <c r="D46" s="521">
        <v>116</v>
      </c>
      <c r="E46" s="266" t="s">
        <v>279</v>
      </c>
      <c r="F46" s="522">
        <v>9.65</v>
      </c>
      <c r="G46" s="523">
        <v>869.63636363600006</v>
      </c>
    </row>
    <row r="47" spans="2:7" x14ac:dyDescent="0.2">
      <c r="B47" s="521">
        <v>116029</v>
      </c>
      <c r="C47" s="266" t="s">
        <v>293</v>
      </c>
      <c r="D47" s="521">
        <v>116</v>
      </c>
      <c r="E47" s="266" t="s">
        <v>279</v>
      </c>
      <c r="F47" s="522">
        <v>9.4</v>
      </c>
      <c r="G47" s="523">
        <v>906.57142857099996</v>
      </c>
    </row>
    <row r="48" spans="2:7" x14ac:dyDescent="0.2">
      <c r="B48" s="521">
        <v>116033</v>
      </c>
      <c r="C48" s="266" t="s">
        <v>294</v>
      </c>
      <c r="D48" s="521">
        <v>116</v>
      </c>
      <c r="E48" s="266" t="s">
        <v>279</v>
      </c>
      <c r="F48" s="522">
        <v>9.42</v>
      </c>
      <c r="G48" s="523">
        <v>883.72340425499999</v>
      </c>
    </row>
    <row r="49" spans="1:7" x14ac:dyDescent="0.2">
      <c r="B49" s="521">
        <v>116035</v>
      </c>
      <c r="C49" s="266" t="s">
        <v>295</v>
      </c>
      <c r="D49" s="521">
        <v>116</v>
      </c>
      <c r="E49" s="266" t="s">
        <v>279</v>
      </c>
      <c r="F49" s="522">
        <v>9.85</v>
      </c>
      <c r="G49" s="523">
        <v>801.40909090900004</v>
      </c>
    </row>
    <row r="50" spans="1:7" x14ac:dyDescent="0.2">
      <c r="B50" s="521">
        <v>116036</v>
      </c>
      <c r="C50" s="266" t="s">
        <v>296</v>
      </c>
      <c r="D50" s="521">
        <v>116</v>
      </c>
      <c r="E50" s="266" t="s">
        <v>279</v>
      </c>
      <c r="F50" s="522">
        <v>9.0749999999999993</v>
      </c>
      <c r="G50" s="523">
        <v>897.33333333300004</v>
      </c>
    </row>
    <row r="51" spans="1:7" x14ac:dyDescent="0.2">
      <c r="B51" s="521">
        <v>116037</v>
      </c>
      <c r="C51" s="266" t="s">
        <v>297</v>
      </c>
      <c r="D51" s="521">
        <v>116</v>
      </c>
      <c r="E51" s="266" t="s">
        <v>279</v>
      </c>
      <c r="F51" s="522">
        <v>9.15</v>
      </c>
      <c r="G51" s="523">
        <v>953.84615384599999</v>
      </c>
    </row>
    <row r="52" spans="1:7" x14ac:dyDescent="0.2">
      <c r="B52" s="521">
        <v>116041</v>
      </c>
      <c r="C52" s="266" t="s">
        <v>298</v>
      </c>
      <c r="D52" s="521">
        <v>116</v>
      </c>
      <c r="E52" s="266" t="s">
        <v>279</v>
      </c>
      <c r="F52" s="522">
        <v>9.6333333333300004</v>
      </c>
      <c r="G52" s="523">
        <v>811.133333333</v>
      </c>
    </row>
    <row r="53" spans="1:7" x14ac:dyDescent="0.2">
      <c r="B53" s="521">
        <v>116042</v>
      </c>
      <c r="C53" s="266" t="s">
        <v>299</v>
      </c>
      <c r="D53" s="521">
        <v>116</v>
      </c>
      <c r="E53" s="266" t="s">
        <v>279</v>
      </c>
      <c r="F53" s="522">
        <v>9.5500000000000007</v>
      </c>
      <c r="G53" s="523">
        <v>850.58823529400001</v>
      </c>
    </row>
    <row r="54" spans="1:7" x14ac:dyDescent="0.2">
      <c r="B54" s="521">
        <v>116043</v>
      </c>
      <c r="C54" s="266" t="s">
        <v>300</v>
      </c>
      <c r="D54" s="521">
        <v>116</v>
      </c>
      <c r="E54" s="266" t="s">
        <v>279</v>
      </c>
      <c r="F54" s="522">
        <v>8.1733333333299996</v>
      </c>
      <c r="G54" s="523">
        <v>1207.08333333</v>
      </c>
    </row>
    <row r="55" spans="1:7" x14ac:dyDescent="0.2">
      <c r="B55" s="521">
        <v>116046</v>
      </c>
      <c r="C55" s="266" t="s">
        <v>301</v>
      </c>
      <c r="D55" s="521">
        <v>116</v>
      </c>
      <c r="E55" s="266" t="s">
        <v>279</v>
      </c>
      <c r="F55" s="522">
        <v>8.6933333333299991</v>
      </c>
      <c r="G55" s="523">
        <v>952.39473684200004</v>
      </c>
    </row>
    <row r="56" spans="1:7" x14ac:dyDescent="0.2">
      <c r="B56" s="521">
        <v>116047</v>
      </c>
      <c r="C56" s="266" t="s">
        <v>302</v>
      </c>
      <c r="D56" s="521">
        <v>116</v>
      </c>
      <c r="E56" s="266" t="s">
        <v>279</v>
      </c>
      <c r="F56" s="522">
        <v>9.6857142857100005</v>
      </c>
      <c r="G56" s="523">
        <v>776.78947368399997</v>
      </c>
    </row>
    <row r="57" spans="1:7" x14ac:dyDescent="0.2">
      <c r="B57" s="521">
        <v>116048</v>
      </c>
      <c r="C57" s="266" t="s">
        <v>303</v>
      </c>
      <c r="D57" s="521">
        <v>116</v>
      </c>
      <c r="E57" s="266" t="s">
        <v>279</v>
      </c>
      <c r="F57" s="522">
        <v>9.5500000000000007</v>
      </c>
      <c r="G57" s="523">
        <v>883.72727272700001</v>
      </c>
    </row>
    <row r="58" spans="1:7" x14ac:dyDescent="0.2">
      <c r="B58" s="521">
        <v>116049</v>
      </c>
      <c r="C58" s="266" t="s">
        <v>304</v>
      </c>
      <c r="D58" s="521">
        <v>116</v>
      </c>
      <c r="E58" s="266" t="s">
        <v>279</v>
      </c>
      <c r="F58" s="522">
        <v>9.5153846153800004</v>
      </c>
      <c r="G58" s="523">
        <v>839.04411764700001</v>
      </c>
    </row>
    <row r="59" spans="1:7" x14ac:dyDescent="0.2">
      <c r="B59" s="521">
        <v>116050</v>
      </c>
      <c r="C59" s="266" t="s">
        <v>305</v>
      </c>
      <c r="D59" s="521">
        <v>116</v>
      </c>
      <c r="E59" s="266" t="s">
        <v>279</v>
      </c>
      <c r="F59" s="522">
        <v>9.8000000000000007</v>
      </c>
      <c r="G59" s="523">
        <v>820</v>
      </c>
    </row>
    <row r="60" spans="1:7" x14ac:dyDescent="0.2">
      <c r="A60" s="453"/>
      <c r="B60" s="521">
        <v>116053</v>
      </c>
      <c r="C60" s="266" t="s">
        <v>306</v>
      </c>
      <c r="D60" s="521">
        <v>116</v>
      </c>
      <c r="E60" s="266" t="s">
        <v>279</v>
      </c>
      <c r="F60" s="522">
        <v>9.4499999999999993</v>
      </c>
      <c r="G60" s="523">
        <v>914.54545454499998</v>
      </c>
    </row>
    <row r="61" spans="1:7" x14ac:dyDescent="0.2">
      <c r="B61" s="521">
        <v>116054</v>
      </c>
      <c r="C61" s="266" t="s">
        <v>307</v>
      </c>
      <c r="D61" s="521">
        <v>116</v>
      </c>
      <c r="E61" s="266" t="s">
        <v>279</v>
      </c>
      <c r="F61" s="522">
        <v>8.9</v>
      </c>
      <c r="G61" s="523">
        <v>952.5</v>
      </c>
    </row>
    <row r="62" spans="1:7" x14ac:dyDescent="0.2">
      <c r="B62" s="521">
        <v>116056</v>
      </c>
      <c r="C62" s="266" t="s">
        <v>308</v>
      </c>
      <c r="D62" s="521">
        <v>116</v>
      </c>
      <c r="E62" s="266" t="s">
        <v>279</v>
      </c>
      <c r="F62" s="522">
        <v>9.625</v>
      </c>
      <c r="G62" s="523">
        <v>894.58333333300004</v>
      </c>
    </row>
    <row r="63" spans="1:7" x14ac:dyDescent="0.2">
      <c r="B63" s="521">
        <v>116058</v>
      </c>
      <c r="C63" s="266" t="s">
        <v>309</v>
      </c>
      <c r="D63" s="521">
        <v>116</v>
      </c>
      <c r="E63" s="266" t="s">
        <v>279</v>
      </c>
      <c r="F63" s="522">
        <v>9.6</v>
      </c>
      <c r="G63" s="523">
        <v>879.93333333299995</v>
      </c>
    </row>
    <row r="64" spans="1:7" x14ac:dyDescent="0.2">
      <c r="B64" s="521">
        <v>116063</v>
      </c>
      <c r="C64" s="266" t="s">
        <v>310</v>
      </c>
      <c r="D64" s="521">
        <v>116</v>
      </c>
      <c r="E64" s="266" t="s">
        <v>279</v>
      </c>
      <c r="F64" s="522">
        <v>9.4111111111099994</v>
      </c>
      <c r="G64" s="523">
        <v>869.866666667</v>
      </c>
    </row>
    <row r="65" spans="2:7" x14ac:dyDescent="0.2">
      <c r="B65" s="521">
        <v>116068</v>
      </c>
      <c r="C65" s="266" t="s">
        <v>311</v>
      </c>
      <c r="D65" s="521">
        <v>116</v>
      </c>
      <c r="E65" s="266" t="s">
        <v>279</v>
      </c>
      <c r="F65" s="522">
        <v>9.8000000000000007</v>
      </c>
      <c r="G65" s="523">
        <v>790.81818181799997</v>
      </c>
    </row>
    <row r="66" spans="2:7" x14ac:dyDescent="0.2">
      <c r="B66" s="521">
        <v>116070</v>
      </c>
      <c r="C66" s="266" t="s">
        <v>312</v>
      </c>
      <c r="D66" s="521">
        <v>116</v>
      </c>
      <c r="E66" s="266" t="s">
        <v>279</v>
      </c>
      <c r="F66" s="522">
        <v>8.4499999999999993</v>
      </c>
      <c r="G66" s="523">
        <v>1092.16666667</v>
      </c>
    </row>
    <row r="67" spans="2:7" x14ac:dyDescent="0.2">
      <c r="B67" s="521">
        <v>116071</v>
      </c>
      <c r="C67" s="266" t="s">
        <v>313</v>
      </c>
      <c r="D67" s="521">
        <v>116</v>
      </c>
      <c r="E67" s="266" t="s">
        <v>279</v>
      </c>
      <c r="F67" s="522">
        <v>9.9</v>
      </c>
      <c r="G67" s="523">
        <v>813.82608695700003</v>
      </c>
    </row>
    <row r="68" spans="2:7" x14ac:dyDescent="0.2">
      <c r="B68" s="521">
        <v>116072</v>
      </c>
      <c r="C68" s="266" t="s">
        <v>314</v>
      </c>
      <c r="D68" s="521">
        <v>116</v>
      </c>
      <c r="E68" s="266" t="s">
        <v>279</v>
      </c>
      <c r="F68" s="522">
        <v>9.85</v>
      </c>
      <c r="G68" s="523">
        <v>838.5</v>
      </c>
    </row>
    <row r="69" spans="2:7" x14ac:dyDescent="0.2">
      <c r="B69" s="521">
        <v>116073</v>
      </c>
      <c r="C69" s="266" t="s">
        <v>315</v>
      </c>
      <c r="D69" s="521">
        <v>116</v>
      </c>
      <c r="E69" s="266" t="s">
        <v>279</v>
      </c>
      <c r="F69" s="522">
        <v>9.4499999999999993</v>
      </c>
      <c r="G69" s="523">
        <v>806.27272727299999</v>
      </c>
    </row>
    <row r="70" spans="2:7" x14ac:dyDescent="0.2">
      <c r="B70" s="521">
        <v>116076</v>
      </c>
      <c r="C70" s="266" t="s">
        <v>316</v>
      </c>
      <c r="D70" s="521">
        <v>116</v>
      </c>
      <c r="E70" s="266" t="s">
        <v>279</v>
      </c>
      <c r="F70" s="522">
        <v>9.58</v>
      </c>
      <c r="G70" s="523">
        <v>893.46153846200002</v>
      </c>
    </row>
    <row r="71" spans="2:7" x14ac:dyDescent="0.2">
      <c r="B71" s="521">
        <v>116077</v>
      </c>
      <c r="C71" s="266" t="s">
        <v>317</v>
      </c>
      <c r="D71" s="521">
        <v>116</v>
      </c>
      <c r="E71" s="266" t="s">
        <v>279</v>
      </c>
      <c r="F71" s="522">
        <v>9.4</v>
      </c>
      <c r="G71" s="523">
        <v>793.36</v>
      </c>
    </row>
    <row r="72" spans="2:7" x14ac:dyDescent="0.2">
      <c r="B72" s="521">
        <v>116078</v>
      </c>
      <c r="C72" s="266" t="s">
        <v>318</v>
      </c>
      <c r="D72" s="521">
        <v>116</v>
      </c>
      <c r="E72" s="266" t="s">
        <v>279</v>
      </c>
      <c r="F72" s="522">
        <v>9.25</v>
      </c>
      <c r="G72" s="523">
        <v>778.06382978700003</v>
      </c>
    </row>
    <row r="73" spans="2:7" x14ac:dyDescent="0.2">
      <c r="B73" s="521">
        <v>116079</v>
      </c>
      <c r="C73" s="266" t="s">
        <v>319</v>
      </c>
      <c r="D73" s="521">
        <v>116</v>
      </c>
      <c r="E73" s="266" t="s">
        <v>279</v>
      </c>
      <c r="F73" s="522">
        <v>8.25</v>
      </c>
      <c r="G73" s="523">
        <v>1106.7093023299999</v>
      </c>
    </row>
    <row r="74" spans="2:7" x14ac:dyDescent="0.2">
      <c r="B74" s="521">
        <v>116080</v>
      </c>
      <c r="C74" s="266" t="s">
        <v>320</v>
      </c>
      <c r="D74" s="521">
        <v>116</v>
      </c>
      <c r="E74" s="266" t="s">
        <v>279</v>
      </c>
      <c r="F74" s="522">
        <v>9.8428571428599998</v>
      </c>
      <c r="G74" s="523">
        <v>756.59459459499999</v>
      </c>
    </row>
    <row r="75" spans="2:7" x14ac:dyDescent="0.2">
      <c r="B75" s="524">
        <v>116081</v>
      </c>
      <c r="C75" s="525" t="s">
        <v>321</v>
      </c>
      <c r="D75" s="524">
        <v>116</v>
      </c>
      <c r="E75" s="525" t="s">
        <v>279</v>
      </c>
      <c r="F75" s="526">
        <v>9.35</v>
      </c>
      <c r="G75" s="527">
        <v>826.16666666699996</v>
      </c>
    </row>
    <row r="76" spans="2:7" x14ac:dyDescent="0.2">
      <c r="B76" s="521">
        <v>117001</v>
      </c>
      <c r="C76" s="266" t="s">
        <v>322</v>
      </c>
      <c r="D76" s="521">
        <v>117</v>
      </c>
      <c r="E76" s="266" t="s">
        <v>323</v>
      </c>
      <c r="F76" s="522">
        <v>9.1571428571400002</v>
      </c>
      <c r="G76" s="523">
        <v>1022.05555556</v>
      </c>
    </row>
    <row r="77" spans="2:7" x14ac:dyDescent="0.2">
      <c r="B77" s="521">
        <v>117002</v>
      </c>
      <c r="C77" s="266" t="s">
        <v>324</v>
      </c>
      <c r="D77" s="521">
        <v>117</v>
      </c>
      <c r="E77" s="266" t="s">
        <v>323</v>
      </c>
      <c r="F77" s="522">
        <v>8.9777777777800001</v>
      </c>
      <c r="G77" s="523">
        <v>989.28571428600003</v>
      </c>
    </row>
    <row r="78" spans="2:7" x14ac:dyDescent="0.2">
      <c r="B78" s="521">
        <v>117003</v>
      </c>
      <c r="C78" s="266" t="s">
        <v>325</v>
      </c>
      <c r="D78" s="521">
        <v>117</v>
      </c>
      <c r="E78" s="266" t="s">
        <v>323</v>
      </c>
      <c r="F78" s="522">
        <v>9.5500000000000007</v>
      </c>
      <c r="G78" s="523">
        <v>923.53333333299997</v>
      </c>
    </row>
    <row r="79" spans="2:7" x14ac:dyDescent="0.2">
      <c r="B79" s="521">
        <v>117006</v>
      </c>
      <c r="C79" s="266" t="s">
        <v>326</v>
      </c>
      <c r="D79" s="521">
        <v>117</v>
      </c>
      <c r="E79" s="266" t="s">
        <v>323</v>
      </c>
      <c r="F79" s="522">
        <v>8.0500000000000007</v>
      </c>
      <c r="G79" s="523">
        <v>1146.6739130399999</v>
      </c>
    </row>
    <row r="80" spans="2:7" x14ac:dyDescent="0.2">
      <c r="B80" s="521">
        <v>117007</v>
      </c>
      <c r="C80" s="266" t="s">
        <v>327</v>
      </c>
      <c r="D80" s="521">
        <v>117</v>
      </c>
      <c r="E80" s="266" t="s">
        <v>323</v>
      </c>
      <c r="F80" s="522">
        <v>8.4</v>
      </c>
      <c r="G80" s="523">
        <v>1033.5686274499999</v>
      </c>
    </row>
    <row r="81" spans="1:7" x14ac:dyDescent="0.2">
      <c r="B81" s="521">
        <v>117009</v>
      </c>
      <c r="C81" s="266" t="s">
        <v>328</v>
      </c>
      <c r="D81" s="521">
        <v>117</v>
      </c>
      <c r="E81" s="266" t="s">
        <v>323</v>
      </c>
      <c r="F81" s="522">
        <v>9.3000000000000007</v>
      </c>
      <c r="G81" s="523">
        <v>973</v>
      </c>
    </row>
    <row r="82" spans="1:7" x14ac:dyDescent="0.2">
      <c r="B82" s="521">
        <v>117010</v>
      </c>
      <c r="C82" s="266" t="s">
        <v>329</v>
      </c>
      <c r="D82" s="521">
        <v>117</v>
      </c>
      <c r="E82" s="266" t="s">
        <v>323</v>
      </c>
      <c r="F82" s="522">
        <v>8.1133333333300008</v>
      </c>
      <c r="G82" s="523">
        <v>1072.3977272699999</v>
      </c>
    </row>
    <row r="83" spans="1:7" x14ac:dyDescent="0.2">
      <c r="B83" s="521">
        <v>117011</v>
      </c>
      <c r="C83" s="266" t="s">
        <v>330</v>
      </c>
      <c r="D83" s="521">
        <v>117</v>
      </c>
      <c r="E83" s="266" t="s">
        <v>323</v>
      </c>
      <c r="F83" s="522">
        <v>9.1333333333300004</v>
      </c>
      <c r="G83" s="523">
        <v>1027.90909091</v>
      </c>
    </row>
    <row r="84" spans="1:7" x14ac:dyDescent="0.2">
      <c r="B84" s="521">
        <v>117012</v>
      </c>
      <c r="C84" s="266" t="s">
        <v>331</v>
      </c>
      <c r="D84" s="521">
        <v>117</v>
      </c>
      <c r="E84" s="266" t="s">
        <v>323</v>
      </c>
      <c r="F84" s="522">
        <v>8.8076923076900009</v>
      </c>
      <c r="G84" s="523">
        <v>1016.52</v>
      </c>
    </row>
    <row r="85" spans="1:7" x14ac:dyDescent="0.2">
      <c r="B85" s="521">
        <v>117014</v>
      </c>
      <c r="C85" s="266" t="s">
        <v>332</v>
      </c>
      <c r="D85" s="521">
        <v>117</v>
      </c>
      <c r="E85" s="266" t="s">
        <v>323</v>
      </c>
      <c r="F85" s="522">
        <v>8.0466666666699993</v>
      </c>
      <c r="G85" s="523">
        <v>1142.3255813999999</v>
      </c>
    </row>
    <row r="86" spans="1:7" x14ac:dyDescent="0.2">
      <c r="B86" s="521">
        <v>117015</v>
      </c>
      <c r="C86" s="266" t="s">
        <v>333</v>
      </c>
      <c r="D86" s="521">
        <v>117</v>
      </c>
      <c r="E86" s="266" t="s">
        <v>323</v>
      </c>
      <c r="F86" s="522">
        <v>8.5578947368399998</v>
      </c>
      <c r="G86" s="523">
        <v>1033.5068493199999</v>
      </c>
    </row>
    <row r="87" spans="1:7" x14ac:dyDescent="0.2">
      <c r="B87" s="521">
        <v>117016</v>
      </c>
      <c r="C87" s="266" t="s">
        <v>334</v>
      </c>
      <c r="D87" s="521">
        <v>117</v>
      </c>
      <c r="E87" s="266" t="s">
        <v>323</v>
      </c>
      <c r="F87" s="522">
        <v>7.6166666666699996</v>
      </c>
      <c r="G87" s="523">
        <v>1188.4615384599999</v>
      </c>
    </row>
    <row r="88" spans="1:7" x14ac:dyDescent="0.2">
      <c r="B88" s="521">
        <v>117017</v>
      </c>
      <c r="C88" s="266" t="s">
        <v>335</v>
      </c>
      <c r="D88" s="521">
        <v>117</v>
      </c>
      <c r="E88" s="266" t="s">
        <v>323</v>
      </c>
      <c r="F88" s="522">
        <v>9.0500000000000007</v>
      </c>
      <c r="G88" s="523">
        <v>1003.875</v>
      </c>
    </row>
    <row r="89" spans="1:7" x14ac:dyDescent="0.2">
      <c r="B89" s="521">
        <v>117018</v>
      </c>
      <c r="C89" s="266" t="s">
        <v>336</v>
      </c>
      <c r="D89" s="521">
        <v>117</v>
      </c>
      <c r="E89" s="266" t="s">
        <v>323</v>
      </c>
      <c r="F89" s="522">
        <v>9.4416666666700007</v>
      </c>
      <c r="G89" s="523">
        <v>925.66666666699996</v>
      </c>
    </row>
    <row r="90" spans="1:7" x14ac:dyDescent="0.2">
      <c r="A90" s="453"/>
      <c r="B90" s="521">
        <v>117019</v>
      </c>
      <c r="C90" s="266" t="s">
        <v>337</v>
      </c>
      <c r="D90" s="521">
        <v>117</v>
      </c>
      <c r="E90" s="266" t="s">
        <v>323</v>
      </c>
      <c r="F90" s="522">
        <v>9.4499999999999993</v>
      </c>
      <c r="G90" s="523">
        <v>903.7</v>
      </c>
    </row>
    <row r="91" spans="1:7" x14ac:dyDescent="0.2">
      <c r="B91" s="521">
        <v>117020</v>
      </c>
      <c r="C91" s="266" t="s">
        <v>338</v>
      </c>
      <c r="D91" s="521">
        <v>117</v>
      </c>
      <c r="E91" s="266" t="s">
        <v>323</v>
      </c>
      <c r="F91" s="522">
        <v>9.0625</v>
      </c>
      <c r="G91" s="523">
        <v>965.33333333300004</v>
      </c>
    </row>
    <row r="92" spans="1:7" x14ac:dyDescent="0.2">
      <c r="B92" s="521">
        <v>117023</v>
      </c>
      <c r="C92" s="266" t="s">
        <v>339</v>
      </c>
      <c r="D92" s="521">
        <v>117</v>
      </c>
      <c r="E92" s="266" t="s">
        <v>323</v>
      </c>
      <c r="F92" s="522">
        <v>8.6999999999999993</v>
      </c>
      <c r="G92" s="523">
        <v>1049.5</v>
      </c>
    </row>
    <row r="93" spans="1:7" x14ac:dyDescent="0.2">
      <c r="B93" s="521">
        <v>117024</v>
      </c>
      <c r="C93" s="266" t="s">
        <v>340</v>
      </c>
      <c r="D93" s="521">
        <v>117</v>
      </c>
      <c r="E93" s="266" t="s">
        <v>323</v>
      </c>
      <c r="F93" s="522">
        <v>8.3952380952399999</v>
      </c>
      <c r="G93" s="523">
        <v>1024.83766234</v>
      </c>
    </row>
    <row r="94" spans="1:7" x14ac:dyDescent="0.2">
      <c r="B94" s="521">
        <v>117025</v>
      </c>
      <c r="C94" s="266" t="s">
        <v>341</v>
      </c>
      <c r="D94" s="521">
        <v>117</v>
      </c>
      <c r="E94" s="266" t="s">
        <v>323</v>
      </c>
      <c r="F94" s="522">
        <v>8.6916666666700007</v>
      </c>
      <c r="G94" s="523">
        <v>967.65217391299996</v>
      </c>
    </row>
    <row r="95" spans="1:7" x14ac:dyDescent="0.2">
      <c r="B95" s="521">
        <v>117026</v>
      </c>
      <c r="C95" s="266" t="s">
        <v>342</v>
      </c>
      <c r="D95" s="521">
        <v>117</v>
      </c>
      <c r="E95" s="266" t="s">
        <v>323</v>
      </c>
      <c r="F95" s="522">
        <v>9.1285714285699999</v>
      </c>
      <c r="G95" s="523">
        <v>948.75961538499996</v>
      </c>
    </row>
    <row r="96" spans="1:7" x14ac:dyDescent="0.2">
      <c r="B96" s="521">
        <v>117028</v>
      </c>
      <c r="C96" s="266" t="s">
        <v>343</v>
      </c>
      <c r="D96" s="521">
        <v>117</v>
      </c>
      <c r="E96" s="266" t="s">
        <v>323</v>
      </c>
      <c r="F96" s="522">
        <v>7.9333333333300002</v>
      </c>
      <c r="G96" s="523">
        <v>1200.2352941199999</v>
      </c>
    </row>
    <row r="97" spans="2:7" x14ac:dyDescent="0.2">
      <c r="B97" s="521">
        <v>117029</v>
      </c>
      <c r="C97" s="266" t="s">
        <v>344</v>
      </c>
      <c r="D97" s="521">
        <v>117</v>
      </c>
      <c r="E97" s="266" t="s">
        <v>323</v>
      </c>
      <c r="F97" s="522">
        <v>9.5</v>
      </c>
      <c r="G97" s="523">
        <v>927.8</v>
      </c>
    </row>
    <row r="98" spans="2:7" x14ac:dyDescent="0.2">
      <c r="B98" s="521">
        <v>117030</v>
      </c>
      <c r="C98" s="266" t="s">
        <v>345</v>
      </c>
      <c r="D98" s="521">
        <v>117</v>
      </c>
      <c r="E98" s="266" t="s">
        <v>323</v>
      </c>
      <c r="F98" s="522">
        <v>8.7272727272699999</v>
      </c>
      <c r="G98" s="523">
        <v>990.58823529400001</v>
      </c>
    </row>
    <row r="99" spans="2:7" x14ac:dyDescent="0.2">
      <c r="B99" s="521">
        <v>117031</v>
      </c>
      <c r="C99" s="266" t="s">
        <v>346</v>
      </c>
      <c r="D99" s="521">
        <v>117</v>
      </c>
      <c r="E99" s="266" t="s">
        <v>323</v>
      </c>
      <c r="F99" s="522">
        <v>7.3</v>
      </c>
      <c r="G99" s="523">
        <v>1145.2666666699999</v>
      </c>
    </row>
    <row r="100" spans="2:7" x14ac:dyDescent="0.2">
      <c r="B100" s="521">
        <v>117033</v>
      </c>
      <c r="C100" s="266" t="s">
        <v>347</v>
      </c>
      <c r="D100" s="521">
        <v>117</v>
      </c>
      <c r="E100" s="266" t="s">
        <v>323</v>
      </c>
      <c r="F100" s="522">
        <v>8.5076923076900002</v>
      </c>
      <c r="G100" s="523">
        <v>1013.68421053</v>
      </c>
    </row>
    <row r="101" spans="2:7" x14ac:dyDescent="0.2">
      <c r="B101" s="521">
        <v>117035</v>
      </c>
      <c r="C101" s="266" t="s">
        <v>348</v>
      </c>
      <c r="D101" s="521">
        <v>117</v>
      </c>
      <c r="E101" s="266" t="s">
        <v>323</v>
      </c>
      <c r="F101" s="522">
        <v>7.96153846154</v>
      </c>
      <c r="G101" s="523">
        <v>1148.26315789</v>
      </c>
    </row>
    <row r="102" spans="2:7" x14ac:dyDescent="0.2">
      <c r="B102" s="521">
        <v>117037</v>
      </c>
      <c r="C102" s="266" t="s">
        <v>349</v>
      </c>
      <c r="D102" s="521">
        <v>117</v>
      </c>
      <c r="E102" s="266" t="s">
        <v>323</v>
      </c>
      <c r="F102" s="522">
        <v>9.0555555555599998</v>
      </c>
      <c r="G102" s="523">
        <v>993.5</v>
      </c>
    </row>
    <row r="103" spans="2:7" x14ac:dyDescent="0.2">
      <c r="B103" s="521">
        <v>117038</v>
      </c>
      <c r="C103" s="266" t="s">
        <v>350</v>
      </c>
      <c r="D103" s="521">
        <v>117</v>
      </c>
      <c r="E103" s="266" t="s">
        <v>323</v>
      </c>
      <c r="F103" s="522">
        <v>9.4</v>
      </c>
      <c r="G103" s="523">
        <v>930.2</v>
      </c>
    </row>
    <row r="104" spans="2:7" x14ac:dyDescent="0.2">
      <c r="B104" s="521">
        <v>117042</v>
      </c>
      <c r="C104" s="266" t="s">
        <v>351</v>
      </c>
      <c r="D104" s="521">
        <v>117</v>
      </c>
      <c r="E104" s="266" t="s">
        <v>323</v>
      </c>
      <c r="F104" s="522">
        <v>9.1750000000000007</v>
      </c>
      <c r="G104" s="523">
        <v>947</v>
      </c>
    </row>
    <row r="105" spans="2:7" x14ac:dyDescent="0.2">
      <c r="B105" s="521">
        <v>117043</v>
      </c>
      <c r="C105" s="266" t="s">
        <v>352</v>
      </c>
      <c r="D105" s="521">
        <v>117</v>
      </c>
      <c r="E105" s="266" t="s">
        <v>323</v>
      </c>
      <c r="F105" s="522">
        <v>8.75</v>
      </c>
      <c r="G105" s="523">
        <v>1001.05</v>
      </c>
    </row>
    <row r="106" spans="2:7" x14ac:dyDescent="0.2">
      <c r="B106" s="521">
        <v>117044</v>
      </c>
      <c r="C106" s="266" t="s">
        <v>353</v>
      </c>
      <c r="D106" s="521">
        <v>117</v>
      </c>
      <c r="E106" s="266" t="s">
        <v>323</v>
      </c>
      <c r="F106" s="522">
        <v>9.4499999999999993</v>
      </c>
      <c r="G106" s="523">
        <v>921.19047619000003</v>
      </c>
    </row>
    <row r="107" spans="2:7" x14ac:dyDescent="0.2">
      <c r="B107" s="521">
        <v>117049</v>
      </c>
      <c r="C107" s="266" t="s">
        <v>354</v>
      </c>
      <c r="D107" s="521">
        <v>117</v>
      </c>
      <c r="E107" s="266" t="s">
        <v>323</v>
      </c>
      <c r="F107" s="522">
        <v>9.15</v>
      </c>
      <c r="G107" s="523">
        <v>927.92</v>
      </c>
    </row>
    <row r="108" spans="2:7" x14ac:dyDescent="0.2">
      <c r="B108" s="521">
        <v>117051</v>
      </c>
      <c r="C108" s="266" t="s">
        <v>355</v>
      </c>
      <c r="D108" s="521">
        <v>117</v>
      </c>
      <c r="E108" s="266" t="s">
        <v>323</v>
      </c>
      <c r="F108" s="522">
        <v>9.35</v>
      </c>
      <c r="G108" s="523">
        <v>946.80357142900004</v>
      </c>
    </row>
    <row r="109" spans="2:7" x14ac:dyDescent="0.2">
      <c r="B109" s="521">
        <v>117053</v>
      </c>
      <c r="C109" s="266" t="s">
        <v>356</v>
      </c>
      <c r="D109" s="521">
        <v>117</v>
      </c>
      <c r="E109" s="266" t="s">
        <v>323</v>
      </c>
      <c r="F109" s="522">
        <v>9.0625</v>
      </c>
      <c r="G109" s="523">
        <v>991.31578947399998</v>
      </c>
    </row>
    <row r="110" spans="2:7" x14ac:dyDescent="0.2">
      <c r="B110" s="521">
        <v>117055</v>
      </c>
      <c r="C110" s="266" t="s">
        <v>357</v>
      </c>
      <c r="D110" s="521">
        <v>117</v>
      </c>
      <c r="E110" s="266" t="s">
        <v>323</v>
      </c>
      <c r="F110" s="522">
        <v>9.35</v>
      </c>
      <c r="G110" s="523">
        <v>959.8</v>
      </c>
    </row>
    <row r="111" spans="2:7" x14ac:dyDescent="0.2">
      <c r="B111" s="521">
        <v>117058</v>
      </c>
      <c r="C111" s="266" t="s">
        <v>358</v>
      </c>
      <c r="D111" s="521">
        <v>117</v>
      </c>
      <c r="E111" s="266" t="s">
        <v>323</v>
      </c>
      <c r="F111" s="522">
        <v>7.9937500000000004</v>
      </c>
      <c r="G111" s="523">
        <v>1203.1142857100001</v>
      </c>
    </row>
    <row r="112" spans="2:7" x14ac:dyDescent="0.2">
      <c r="B112" s="521">
        <v>117060</v>
      </c>
      <c r="C112" s="266" t="s">
        <v>359</v>
      </c>
      <c r="D112" s="521">
        <v>117</v>
      </c>
      <c r="E112" s="266" t="s">
        <v>323</v>
      </c>
      <c r="F112" s="522">
        <v>9.3249999999999993</v>
      </c>
      <c r="G112" s="523">
        <v>946.5</v>
      </c>
    </row>
    <row r="113" spans="1:7" x14ac:dyDescent="0.2">
      <c r="B113" s="524">
        <v>117061</v>
      </c>
      <c r="C113" s="525" t="s">
        <v>360</v>
      </c>
      <c r="D113" s="524">
        <v>117</v>
      </c>
      <c r="E113" s="525" t="s">
        <v>323</v>
      </c>
      <c r="F113" s="526">
        <v>8.06</v>
      </c>
      <c r="G113" s="527">
        <v>1138.1568627500001</v>
      </c>
    </row>
    <row r="114" spans="1:7" x14ac:dyDescent="0.2">
      <c r="B114" s="521">
        <v>118001</v>
      </c>
      <c r="C114" s="266" t="s">
        <v>361</v>
      </c>
      <c r="D114" s="521">
        <v>118</v>
      </c>
      <c r="E114" s="266" t="s">
        <v>362</v>
      </c>
      <c r="F114" s="522">
        <v>9.9</v>
      </c>
      <c r="G114" s="523">
        <v>833.27272727299999</v>
      </c>
    </row>
    <row r="115" spans="1:7" x14ac:dyDescent="0.2">
      <c r="B115" s="521">
        <v>118003</v>
      </c>
      <c r="C115" s="266" t="s">
        <v>363</v>
      </c>
      <c r="D115" s="521">
        <v>118</v>
      </c>
      <c r="E115" s="266" t="s">
        <v>362</v>
      </c>
      <c r="F115" s="522">
        <v>10.25</v>
      </c>
      <c r="G115" s="523">
        <v>768.16666666699996</v>
      </c>
    </row>
    <row r="116" spans="1:7" x14ac:dyDescent="0.2">
      <c r="B116" s="521">
        <v>118006</v>
      </c>
      <c r="C116" s="266" t="s">
        <v>364</v>
      </c>
      <c r="D116" s="521">
        <v>118</v>
      </c>
      <c r="E116" s="266" t="s">
        <v>362</v>
      </c>
      <c r="F116" s="522">
        <v>10.3</v>
      </c>
      <c r="G116" s="523">
        <v>766.33333333300004</v>
      </c>
    </row>
    <row r="117" spans="1:7" x14ac:dyDescent="0.2">
      <c r="B117" s="521">
        <v>118007</v>
      </c>
      <c r="C117" s="266" t="s">
        <v>365</v>
      </c>
      <c r="D117" s="521">
        <v>118</v>
      </c>
      <c r="E117" s="266" t="s">
        <v>362</v>
      </c>
      <c r="F117" s="522">
        <v>10.1</v>
      </c>
      <c r="G117" s="523">
        <v>767.04347826100002</v>
      </c>
    </row>
    <row r="118" spans="1:7" x14ac:dyDescent="0.2">
      <c r="B118" s="521">
        <v>118010</v>
      </c>
      <c r="C118" s="266" t="s">
        <v>366</v>
      </c>
      <c r="D118" s="521">
        <v>118</v>
      </c>
      <c r="E118" s="266" t="s">
        <v>362</v>
      </c>
      <c r="F118" s="522">
        <v>9.88461538462</v>
      </c>
      <c r="G118" s="523">
        <v>770.375</v>
      </c>
    </row>
    <row r="119" spans="1:7" x14ac:dyDescent="0.2">
      <c r="B119" s="521">
        <v>118011</v>
      </c>
      <c r="C119" s="266" t="s">
        <v>367</v>
      </c>
      <c r="D119" s="521">
        <v>118</v>
      </c>
      <c r="E119" s="266" t="s">
        <v>362</v>
      </c>
      <c r="F119" s="522">
        <v>9.65</v>
      </c>
      <c r="G119" s="523">
        <v>783.29411764700001</v>
      </c>
    </row>
    <row r="120" spans="1:7" x14ac:dyDescent="0.2">
      <c r="A120" s="453"/>
      <c r="B120" s="521">
        <v>118012</v>
      </c>
      <c r="C120" s="266" t="s">
        <v>368</v>
      </c>
      <c r="D120" s="521">
        <v>118</v>
      </c>
      <c r="E120" s="266" t="s">
        <v>362</v>
      </c>
      <c r="F120" s="522">
        <v>9.65</v>
      </c>
      <c r="G120" s="523">
        <v>790.06382978700003</v>
      </c>
    </row>
    <row r="121" spans="1:7" x14ac:dyDescent="0.2">
      <c r="B121" s="521">
        <v>118014</v>
      </c>
      <c r="C121" s="266" t="s">
        <v>369</v>
      </c>
      <c r="D121" s="521">
        <v>118</v>
      </c>
      <c r="E121" s="266" t="s">
        <v>362</v>
      </c>
      <c r="F121" s="522">
        <v>9.8625000000000007</v>
      </c>
      <c r="G121" s="523">
        <v>833.80555555599994</v>
      </c>
    </row>
    <row r="122" spans="1:7" x14ac:dyDescent="0.2">
      <c r="B122" s="521">
        <v>118015</v>
      </c>
      <c r="C122" s="266" t="s">
        <v>370</v>
      </c>
      <c r="D122" s="521">
        <v>118</v>
      </c>
      <c r="E122" s="266" t="s">
        <v>362</v>
      </c>
      <c r="F122" s="522">
        <v>9.9250000000000007</v>
      </c>
      <c r="G122" s="523">
        <v>763.6</v>
      </c>
    </row>
    <row r="123" spans="1:7" x14ac:dyDescent="0.2">
      <c r="B123" s="521">
        <v>118016</v>
      </c>
      <c r="C123" s="266" t="s">
        <v>371</v>
      </c>
      <c r="D123" s="521">
        <v>118</v>
      </c>
      <c r="E123" s="266" t="s">
        <v>362</v>
      </c>
      <c r="F123" s="522">
        <v>9.6999999999999993</v>
      </c>
      <c r="G123" s="523">
        <v>823.83333333300004</v>
      </c>
    </row>
    <row r="124" spans="1:7" x14ac:dyDescent="0.2">
      <c r="B124" s="521">
        <v>118018</v>
      </c>
      <c r="C124" s="266" t="s">
        <v>372</v>
      </c>
      <c r="D124" s="521">
        <v>118</v>
      </c>
      <c r="E124" s="266" t="s">
        <v>362</v>
      </c>
      <c r="F124" s="522">
        <v>10.15</v>
      </c>
      <c r="G124" s="523">
        <v>770.6</v>
      </c>
    </row>
    <row r="125" spans="1:7" x14ac:dyDescent="0.2">
      <c r="B125" s="521">
        <v>118019</v>
      </c>
      <c r="C125" s="266" t="s">
        <v>373</v>
      </c>
      <c r="D125" s="521">
        <v>118</v>
      </c>
      <c r="E125" s="266" t="s">
        <v>362</v>
      </c>
      <c r="F125" s="522">
        <v>9.48</v>
      </c>
      <c r="G125" s="523">
        <v>798.48</v>
      </c>
    </row>
    <row r="126" spans="1:7" x14ac:dyDescent="0.2">
      <c r="B126" s="521">
        <v>118021</v>
      </c>
      <c r="C126" s="266" t="s">
        <v>374</v>
      </c>
      <c r="D126" s="521">
        <v>118</v>
      </c>
      <c r="E126" s="266" t="s">
        <v>362</v>
      </c>
      <c r="F126" s="522">
        <v>9.7888888888899999</v>
      </c>
      <c r="G126" s="523">
        <v>830.08888888900003</v>
      </c>
    </row>
    <row r="127" spans="1:7" x14ac:dyDescent="0.2">
      <c r="B127" s="521">
        <v>118027</v>
      </c>
      <c r="C127" s="266" t="s">
        <v>375</v>
      </c>
      <c r="D127" s="521">
        <v>118</v>
      </c>
      <c r="E127" s="266" t="s">
        <v>362</v>
      </c>
      <c r="F127" s="522">
        <v>9.8000000000000007</v>
      </c>
      <c r="G127" s="523">
        <v>786.8</v>
      </c>
    </row>
    <row r="128" spans="1:7" x14ac:dyDescent="0.2">
      <c r="B128" s="521">
        <v>118028</v>
      </c>
      <c r="C128" s="266" t="s">
        <v>376</v>
      </c>
      <c r="D128" s="521">
        <v>118</v>
      </c>
      <c r="E128" s="266" t="s">
        <v>362</v>
      </c>
      <c r="F128" s="522">
        <v>10.199999999999999</v>
      </c>
      <c r="G128" s="523">
        <v>767.09090909099996</v>
      </c>
    </row>
    <row r="129" spans="2:7" x14ac:dyDescent="0.2">
      <c r="B129" s="521">
        <v>118040</v>
      </c>
      <c r="C129" s="266" t="s">
        <v>377</v>
      </c>
      <c r="D129" s="521">
        <v>118</v>
      </c>
      <c r="E129" s="266" t="s">
        <v>362</v>
      </c>
      <c r="F129" s="522">
        <v>10.25</v>
      </c>
      <c r="G129" s="523">
        <v>737.47826086999999</v>
      </c>
    </row>
    <row r="130" spans="2:7" x14ac:dyDescent="0.2">
      <c r="B130" s="521">
        <v>118046</v>
      </c>
      <c r="C130" s="266" t="s">
        <v>378</v>
      </c>
      <c r="D130" s="521">
        <v>118</v>
      </c>
      <c r="E130" s="266" t="s">
        <v>362</v>
      </c>
      <c r="F130" s="522">
        <v>10.25</v>
      </c>
      <c r="G130" s="523">
        <v>757.70588235299999</v>
      </c>
    </row>
    <row r="131" spans="2:7" x14ac:dyDescent="0.2">
      <c r="B131" s="521">
        <v>118047</v>
      </c>
      <c r="C131" s="266" t="s">
        <v>379</v>
      </c>
      <c r="D131" s="521">
        <v>118</v>
      </c>
      <c r="E131" s="266" t="s">
        <v>362</v>
      </c>
      <c r="F131" s="522">
        <v>10.14</v>
      </c>
      <c r="G131" s="523">
        <v>750.34782608700004</v>
      </c>
    </row>
    <row r="132" spans="2:7" x14ac:dyDescent="0.2">
      <c r="B132" s="521">
        <v>118048</v>
      </c>
      <c r="C132" s="266" t="s">
        <v>380</v>
      </c>
      <c r="D132" s="521">
        <v>118</v>
      </c>
      <c r="E132" s="266" t="s">
        <v>362</v>
      </c>
      <c r="F132" s="522">
        <v>10.25</v>
      </c>
      <c r="G132" s="523">
        <v>780.18518518500002</v>
      </c>
    </row>
    <row r="133" spans="2:7" x14ac:dyDescent="0.2">
      <c r="B133" s="521">
        <v>118049</v>
      </c>
      <c r="C133" s="266" t="s">
        <v>381</v>
      </c>
      <c r="D133" s="521">
        <v>118</v>
      </c>
      <c r="E133" s="266" t="s">
        <v>362</v>
      </c>
      <c r="F133" s="522">
        <v>10.050000000000001</v>
      </c>
      <c r="G133" s="523">
        <v>813.95945945899996</v>
      </c>
    </row>
    <row r="134" spans="2:7" x14ac:dyDescent="0.2">
      <c r="B134" s="521">
        <v>118050</v>
      </c>
      <c r="C134" s="266" t="s">
        <v>382</v>
      </c>
      <c r="D134" s="521">
        <v>118</v>
      </c>
      <c r="E134" s="266" t="s">
        <v>362</v>
      </c>
      <c r="F134" s="522">
        <v>10.199999999999999</v>
      </c>
      <c r="G134" s="523">
        <v>740.69444444400006</v>
      </c>
    </row>
    <row r="135" spans="2:7" x14ac:dyDescent="0.2">
      <c r="B135" s="521">
        <v>118051</v>
      </c>
      <c r="C135" s="266" t="s">
        <v>383</v>
      </c>
      <c r="D135" s="521">
        <v>118</v>
      </c>
      <c r="E135" s="266" t="s">
        <v>362</v>
      </c>
      <c r="F135" s="522">
        <v>10</v>
      </c>
      <c r="G135" s="523">
        <v>780.63636363600006</v>
      </c>
    </row>
    <row r="136" spans="2:7" x14ac:dyDescent="0.2">
      <c r="B136" s="521">
        <v>118053</v>
      </c>
      <c r="C136" s="266" t="s">
        <v>384</v>
      </c>
      <c r="D136" s="521">
        <v>118</v>
      </c>
      <c r="E136" s="266" t="s">
        <v>362</v>
      </c>
      <c r="F136" s="522">
        <v>10.050000000000001</v>
      </c>
      <c r="G136" s="523">
        <v>799.21739130399999</v>
      </c>
    </row>
    <row r="137" spans="2:7" x14ac:dyDescent="0.2">
      <c r="B137" s="521">
        <v>118054</v>
      </c>
      <c r="C137" s="266" t="s">
        <v>385</v>
      </c>
      <c r="D137" s="521">
        <v>118</v>
      </c>
      <c r="E137" s="266" t="s">
        <v>362</v>
      </c>
      <c r="F137" s="522">
        <v>10</v>
      </c>
      <c r="G137" s="523">
        <v>803.75</v>
      </c>
    </row>
    <row r="138" spans="2:7" x14ac:dyDescent="0.2">
      <c r="B138" s="521">
        <v>118059</v>
      </c>
      <c r="C138" s="266" t="s">
        <v>386</v>
      </c>
      <c r="D138" s="521">
        <v>118</v>
      </c>
      <c r="E138" s="266" t="s">
        <v>362</v>
      </c>
      <c r="F138" s="522">
        <v>10.15</v>
      </c>
      <c r="G138" s="523">
        <v>740.75</v>
      </c>
    </row>
    <row r="139" spans="2:7" x14ac:dyDescent="0.2">
      <c r="B139" s="521">
        <v>118060</v>
      </c>
      <c r="C139" s="266" t="s">
        <v>387</v>
      </c>
      <c r="D139" s="521">
        <v>118</v>
      </c>
      <c r="E139" s="266" t="s">
        <v>362</v>
      </c>
      <c r="F139" s="522">
        <v>9.3444444444400006</v>
      </c>
      <c r="G139" s="523">
        <v>909.56896551700004</v>
      </c>
    </row>
    <row r="140" spans="2:7" x14ac:dyDescent="0.2">
      <c r="B140" s="521">
        <v>118063</v>
      </c>
      <c r="C140" s="266" t="s">
        <v>388</v>
      </c>
      <c r="D140" s="521">
        <v>118</v>
      </c>
      <c r="E140" s="266" t="s">
        <v>362</v>
      </c>
      <c r="F140" s="522">
        <v>10</v>
      </c>
      <c r="G140" s="523">
        <v>798.234375</v>
      </c>
    </row>
    <row r="141" spans="2:7" x14ac:dyDescent="0.2">
      <c r="B141" s="521">
        <v>118067</v>
      </c>
      <c r="C141" s="266" t="s">
        <v>389</v>
      </c>
      <c r="D141" s="521">
        <v>118</v>
      </c>
      <c r="E141" s="266" t="s">
        <v>362</v>
      </c>
      <c r="F141" s="522">
        <v>10.050000000000001</v>
      </c>
      <c r="G141" s="523">
        <v>769.26315789499995</v>
      </c>
    </row>
    <row r="142" spans="2:7" x14ac:dyDescent="0.2">
      <c r="B142" s="521">
        <v>118068</v>
      </c>
      <c r="C142" s="266" t="s">
        <v>390</v>
      </c>
      <c r="D142" s="521">
        <v>118</v>
      </c>
      <c r="E142" s="266" t="s">
        <v>362</v>
      </c>
      <c r="F142" s="522">
        <v>10.15</v>
      </c>
      <c r="G142" s="523">
        <v>758.14285714300001</v>
      </c>
    </row>
    <row r="143" spans="2:7" x14ac:dyDescent="0.2">
      <c r="B143" s="521">
        <v>118070</v>
      </c>
      <c r="C143" s="266" t="s">
        <v>391</v>
      </c>
      <c r="D143" s="521">
        <v>118</v>
      </c>
      <c r="E143" s="266" t="s">
        <v>362</v>
      </c>
      <c r="F143" s="522">
        <v>9.9499999999999993</v>
      </c>
      <c r="G143" s="523">
        <v>819.85</v>
      </c>
    </row>
    <row r="144" spans="2:7" x14ac:dyDescent="0.2">
      <c r="B144" s="521">
        <v>118071</v>
      </c>
      <c r="C144" s="266" t="s">
        <v>392</v>
      </c>
      <c r="D144" s="521">
        <v>118</v>
      </c>
      <c r="E144" s="266" t="s">
        <v>362</v>
      </c>
      <c r="F144" s="522">
        <v>10.15</v>
      </c>
      <c r="G144" s="523">
        <v>750.64705882400006</v>
      </c>
    </row>
    <row r="145" spans="1:7" x14ac:dyDescent="0.2">
      <c r="B145" s="521">
        <v>118073</v>
      </c>
      <c r="C145" s="266" t="s">
        <v>393</v>
      </c>
      <c r="D145" s="521">
        <v>118</v>
      </c>
      <c r="E145" s="266" t="s">
        <v>362</v>
      </c>
      <c r="F145" s="522">
        <v>9.7428571428600002</v>
      </c>
      <c r="G145" s="523">
        <v>778.44</v>
      </c>
    </row>
    <row r="146" spans="1:7" x14ac:dyDescent="0.2">
      <c r="B146" s="521">
        <v>118074</v>
      </c>
      <c r="C146" s="266" t="s">
        <v>394</v>
      </c>
      <c r="D146" s="521">
        <v>118</v>
      </c>
      <c r="E146" s="266" t="s">
        <v>362</v>
      </c>
      <c r="F146" s="522">
        <v>10.199999999999999</v>
      </c>
      <c r="G146" s="523">
        <v>738.3</v>
      </c>
    </row>
    <row r="147" spans="1:7" x14ac:dyDescent="0.2">
      <c r="B147" s="521">
        <v>118076</v>
      </c>
      <c r="C147" s="266" t="s">
        <v>395</v>
      </c>
      <c r="D147" s="521">
        <v>118</v>
      </c>
      <c r="E147" s="266" t="s">
        <v>362</v>
      </c>
      <c r="F147" s="522">
        <v>9.6437500000000007</v>
      </c>
      <c r="G147" s="523">
        <v>805.70967741899995</v>
      </c>
    </row>
    <row r="148" spans="1:7" x14ac:dyDescent="0.2">
      <c r="B148" s="521">
        <v>118077</v>
      </c>
      <c r="C148" s="266" t="s">
        <v>396</v>
      </c>
      <c r="D148" s="521">
        <v>118</v>
      </c>
      <c r="E148" s="266" t="s">
        <v>362</v>
      </c>
      <c r="F148" s="522">
        <v>10.15</v>
      </c>
      <c r="G148" s="523">
        <v>751.06896551700004</v>
      </c>
    </row>
    <row r="149" spans="1:7" x14ac:dyDescent="0.2">
      <c r="B149" s="521">
        <v>118078</v>
      </c>
      <c r="C149" s="266" t="s">
        <v>397</v>
      </c>
      <c r="D149" s="521">
        <v>118</v>
      </c>
      <c r="E149" s="266" t="s">
        <v>362</v>
      </c>
      <c r="F149" s="522">
        <v>10.4</v>
      </c>
      <c r="G149" s="523">
        <v>754.47619047600006</v>
      </c>
    </row>
    <row r="150" spans="1:7" x14ac:dyDescent="0.2">
      <c r="A150" s="453"/>
      <c r="B150" s="521">
        <v>118079</v>
      </c>
      <c r="C150" s="266" t="s">
        <v>398</v>
      </c>
      <c r="D150" s="521">
        <v>118</v>
      </c>
      <c r="E150" s="266" t="s">
        <v>362</v>
      </c>
      <c r="F150" s="522">
        <v>10.199999999999999</v>
      </c>
      <c r="G150" s="523">
        <v>739.97435897399998</v>
      </c>
    </row>
    <row r="151" spans="1:7" x14ac:dyDescent="0.2">
      <c r="B151" s="521">
        <v>118080</v>
      </c>
      <c r="C151" s="266" t="s">
        <v>399</v>
      </c>
      <c r="D151" s="521">
        <v>118</v>
      </c>
      <c r="E151" s="266" t="s">
        <v>362</v>
      </c>
      <c r="F151" s="522">
        <v>9.9499999999999993</v>
      </c>
      <c r="G151" s="523">
        <v>775.81481481499998</v>
      </c>
    </row>
    <row r="152" spans="1:7" x14ac:dyDescent="0.2">
      <c r="B152" s="524">
        <v>118081</v>
      </c>
      <c r="C152" s="525" t="s">
        <v>400</v>
      </c>
      <c r="D152" s="524">
        <v>118</v>
      </c>
      <c r="E152" s="525" t="s">
        <v>362</v>
      </c>
      <c r="F152" s="526">
        <v>10.35</v>
      </c>
      <c r="G152" s="527">
        <v>772.21951219499999</v>
      </c>
    </row>
    <row r="153" spans="1:7" x14ac:dyDescent="0.2">
      <c r="B153" s="521">
        <v>119001</v>
      </c>
      <c r="C153" s="266" t="s">
        <v>401</v>
      </c>
      <c r="D153" s="521">
        <v>119</v>
      </c>
      <c r="E153" s="266" t="s">
        <v>402</v>
      </c>
      <c r="F153" s="522">
        <v>8.9499999999999993</v>
      </c>
      <c r="G153" s="523">
        <v>1032.58536585</v>
      </c>
    </row>
    <row r="154" spans="1:7" x14ac:dyDescent="0.2">
      <c r="B154" s="521">
        <v>119003</v>
      </c>
      <c r="C154" s="266" t="s">
        <v>403</v>
      </c>
      <c r="D154" s="521">
        <v>119</v>
      </c>
      <c r="E154" s="266" t="s">
        <v>402</v>
      </c>
      <c r="F154" s="522">
        <v>9.3666666666699996</v>
      </c>
      <c r="G154" s="523">
        <v>946.91666666699996</v>
      </c>
    </row>
    <row r="155" spans="1:7" x14ac:dyDescent="0.2">
      <c r="B155" s="521">
        <v>119004</v>
      </c>
      <c r="C155" s="266" t="s">
        <v>404</v>
      </c>
      <c r="D155" s="521">
        <v>119</v>
      </c>
      <c r="E155" s="266" t="s">
        <v>402</v>
      </c>
      <c r="F155" s="522">
        <v>8.6785714285700006</v>
      </c>
      <c r="G155" s="523">
        <v>1115.0789473699999</v>
      </c>
    </row>
    <row r="156" spans="1:7" x14ac:dyDescent="0.2">
      <c r="B156" s="521">
        <v>119006</v>
      </c>
      <c r="C156" s="266" t="s">
        <v>405</v>
      </c>
      <c r="D156" s="521">
        <v>119</v>
      </c>
      <c r="E156" s="266" t="s">
        <v>402</v>
      </c>
      <c r="F156" s="522">
        <v>8.75</v>
      </c>
      <c r="G156" s="523">
        <v>1075</v>
      </c>
    </row>
    <row r="157" spans="1:7" x14ac:dyDescent="0.2">
      <c r="B157" s="521">
        <v>119008</v>
      </c>
      <c r="C157" s="266" t="s">
        <v>406</v>
      </c>
      <c r="D157" s="521">
        <v>119</v>
      </c>
      <c r="E157" s="266" t="s">
        <v>402</v>
      </c>
      <c r="F157" s="522">
        <v>9.36</v>
      </c>
      <c r="G157" s="523">
        <v>917.71014492799998</v>
      </c>
    </row>
    <row r="158" spans="1:7" x14ac:dyDescent="0.2">
      <c r="B158" s="521">
        <v>119018</v>
      </c>
      <c r="C158" s="266" t="s">
        <v>407</v>
      </c>
      <c r="D158" s="521">
        <v>119</v>
      </c>
      <c r="E158" s="266" t="s">
        <v>402</v>
      </c>
      <c r="F158" s="522">
        <v>9.85</v>
      </c>
      <c r="G158" s="523">
        <v>849.72727272700001</v>
      </c>
    </row>
    <row r="159" spans="1:7" x14ac:dyDescent="0.2">
      <c r="B159" s="521">
        <v>119020</v>
      </c>
      <c r="C159" s="266" t="s">
        <v>408</v>
      </c>
      <c r="D159" s="521">
        <v>119</v>
      </c>
      <c r="E159" s="266" t="s">
        <v>402</v>
      </c>
      <c r="F159" s="522">
        <v>10.123076923099999</v>
      </c>
      <c r="G159" s="523">
        <v>785.35416666699996</v>
      </c>
    </row>
    <row r="160" spans="1:7" x14ac:dyDescent="0.2">
      <c r="B160" s="521">
        <v>119024</v>
      </c>
      <c r="C160" s="266" t="s">
        <v>409</v>
      </c>
      <c r="D160" s="521">
        <v>119</v>
      </c>
      <c r="E160" s="266" t="s">
        <v>402</v>
      </c>
      <c r="F160" s="522">
        <v>8.59</v>
      </c>
      <c r="G160" s="523">
        <v>1083.9818181799999</v>
      </c>
    </row>
    <row r="161" spans="2:7" x14ac:dyDescent="0.2">
      <c r="B161" s="521">
        <v>119037</v>
      </c>
      <c r="C161" s="266" t="s">
        <v>410</v>
      </c>
      <c r="D161" s="521">
        <v>119</v>
      </c>
      <c r="E161" s="266" t="s">
        <v>402</v>
      </c>
      <c r="F161" s="522">
        <v>8.4499999999999993</v>
      </c>
      <c r="G161" s="523">
        <v>1101.14814815</v>
      </c>
    </row>
    <row r="162" spans="2:7" x14ac:dyDescent="0.2">
      <c r="B162" s="521">
        <v>119038</v>
      </c>
      <c r="C162" s="266" t="s">
        <v>411</v>
      </c>
      <c r="D162" s="521">
        <v>119</v>
      </c>
      <c r="E162" s="266" t="s">
        <v>402</v>
      </c>
      <c r="F162" s="522">
        <v>9.85</v>
      </c>
      <c r="G162" s="523">
        <v>852.61904761899996</v>
      </c>
    </row>
    <row r="163" spans="2:7" x14ac:dyDescent="0.2">
      <c r="B163" s="521">
        <v>119041</v>
      </c>
      <c r="C163" s="266" t="s">
        <v>412</v>
      </c>
      <c r="D163" s="521">
        <v>119</v>
      </c>
      <c r="E163" s="266" t="s">
        <v>402</v>
      </c>
      <c r="F163" s="522">
        <v>9.6999999999999993</v>
      </c>
      <c r="G163" s="523">
        <v>927.66666666699996</v>
      </c>
    </row>
    <row r="164" spans="2:7" x14ac:dyDescent="0.2">
      <c r="B164" s="521">
        <v>119042</v>
      </c>
      <c r="C164" s="266" t="s">
        <v>413</v>
      </c>
      <c r="D164" s="521">
        <v>119</v>
      </c>
      <c r="E164" s="266" t="s">
        <v>402</v>
      </c>
      <c r="F164" s="522">
        <v>9.5333333333300008</v>
      </c>
      <c r="G164" s="523">
        <v>881.1</v>
      </c>
    </row>
    <row r="165" spans="2:7" x14ac:dyDescent="0.2">
      <c r="B165" s="521">
        <v>119044</v>
      </c>
      <c r="C165" s="266" t="s">
        <v>414</v>
      </c>
      <c r="D165" s="521">
        <v>119</v>
      </c>
      <c r="E165" s="266" t="s">
        <v>402</v>
      </c>
      <c r="F165" s="522">
        <v>8.6999999999999993</v>
      </c>
      <c r="G165" s="523">
        <v>1078.6545454499999</v>
      </c>
    </row>
    <row r="166" spans="2:7" x14ac:dyDescent="0.2">
      <c r="B166" s="521">
        <v>119053</v>
      </c>
      <c r="C166" s="266" t="s">
        <v>415</v>
      </c>
      <c r="D166" s="521">
        <v>119</v>
      </c>
      <c r="E166" s="266" t="s">
        <v>402</v>
      </c>
      <c r="F166" s="522">
        <v>9.0500000000000007</v>
      </c>
      <c r="G166" s="523">
        <v>964.36842105300002</v>
      </c>
    </row>
    <row r="167" spans="2:7" x14ac:dyDescent="0.2">
      <c r="B167" s="521">
        <v>119055</v>
      </c>
      <c r="C167" s="266" t="s">
        <v>416</v>
      </c>
      <c r="D167" s="521">
        <v>119</v>
      </c>
      <c r="E167" s="266" t="s">
        <v>402</v>
      </c>
      <c r="F167" s="522">
        <v>9.25</v>
      </c>
      <c r="G167" s="523">
        <v>985.61333333300001</v>
      </c>
    </row>
    <row r="168" spans="2:7" x14ac:dyDescent="0.2">
      <c r="B168" s="521">
        <v>119061</v>
      </c>
      <c r="C168" s="266" t="s">
        <v>417</v>
      </c>
      <c r="D168" s="521">
        <v>119</v>
      </c>
      <c r="E168" s="266" t="s">
        <v>402</v>
      </c>
      <c r="F168" s="522">
        <v>9</v>
      </c>
      <c r="G168" s="523">
        <v>1021.21428571</v>
      </c>
    </row>
    <row r="169" spans="2:7" x14ac:dyDescent="0.2">
      <c r="B169" s="521">
        <v>119067</v>
      </c>
      <c r="C169" s="266" t="s">
        <v>418</v>
      </c>
      <c r="D169" s="521">
        <v>119</v>
      </c>
      <c r="E169" s="266" t="s">
        <v>402</v>
      </c>
      <c r="F169" s="522">
        <v>9.3000000000000007</v>
      </c>
      <c r="G169" s="523">
        <v>944.10714285699999</v>
      </c>
    </row>
    <row r="170" spans="2:7" x14ac:dyDescent="0.2">
      <c r="B170" s="521">
        <v>119068</v>
      </c>
      <c r="C170" s="266" t="s">
        <v>419</v>
      </c>
      <c r="D170" s="521">
        <v>119</v>
      </c>
      <c r="E170" s="266" t="s">
        <v>402</v>
      </c>
      <c r="F170" s="522">
        <v>9.9499999999999993</v>
      </c>
      <c r="G170" s="523">
        <v>859.73684210500005</v>
      </c>
    </row>
    <row r="171" spans="2:7" x14ac:dyDescent="0.2">
      <c r="B171" s="521">
        <v>119069</v>
      </c>
      <c r="C171" s="266" t="s">
        <v>420</v>
      </c>
      <c r="D171" s="521">
        <v>119</v>
      </c>
      <c r="E171" s="266" t="s">
        <v>402</v>
      </c>
      <c r="F171" s="522">
        <v>8.6999999999999993</v>
      </c>
      <c r="G171" s="523">
        <v>1032.60465116</v>
      </c>
    </row>
    <row r="172" spans="2:7" x14ac:dyDescent="0.2">
      <c r="B172" s="521">
        <v>119075</v>
      </c>
      <c r="C172" s="266" t="s">
        <v>421</v>
      </c>
      <c r="D172" s="521">
        <v>119</v>
      </c>
      <c r="E172" s="266" t="s">
        <v>402</v>
      </c>
      <c r="F172" s="522">
        <v>8.84375</v>
      </c>
      <c r="G172" s="523">
        <v>1027.6071428600001</v>
      </c>
    </row>
    <row r="173" spans="2:7" x14ac:dyDescent="0.2">
      <c r="B173" s="521">
        <v>119076</v>
      </c>
      <c r="C173" s="266" t="s">
        <v>422</v>
      </c>
      <c r="D173" s="521">
        <v>119</v>
      </c>
      <c r="E173" s="266" t="s">
        <v>402</v>
      </c>
      <c r="F173" s="522">
        <v>9.2533333333299996</v>
      </c>
      <c r="G173" s="523">
        <v>968.27659574500001</v>
      </c>
    </row>
    <row r="174" spans="2:7" x14ac:dyDescent="0.2">
      <c r="B174" s="521">
        <v>119079</v>
      </c>
      <c r="C174" s="266" t="s">
        <v>423</v>
      </c>
      <c r="D174" s="521">
        <v>119</v>
      </c>
      <c r="E174" s="266" t="s">
        <v>402</v>
      </c>
      <c r="F174" s="522">
        <v>9.625</v>
      </c>
      <c r="G174" s="523">
        <v>874.53465346500002</v>
      </c>
    </row>
    <row r="175" spans="2:7" x14ac:dyDescent="0.2">
      <c r="B175" s="521">
        <v>119083</v>
      </c>
      <c r="C175" s="266" t="s">
        <v>424</v>
      </c>
      <c r="D175" s="521">
        <v>119</v>
      </c>
      <c r="E175" s="266" t="s">
        <v>402</v>
      </c>
      <c r="F175" s="522">
        <v>9.0461538461500002</v>
      </c>
      <c r="G175" s="523">
        <v>986.27499999999998</v>
      </c>
    </row>
    <row r="176" spans="2:7" x14ac:dyDescent="0.2">
      <c r="B176" s="521">
        <v>119084</v>
      </c>
      <c r="C176" s="266" t="s">
        <v>425</v>
      </c>
      <c r="D176" s="521">
        <v>119</v>
      </c>
      <c r="E176" s="266" t="s">
        <v>402</v>
      </c>
      <c r="F176" s="522">
        <v>8.7090909090899995</v>
      </c>
      <c r="G176" s="523">
        <v>1077.1617647099999</v>
      </c>
    </row>
    <row r="177" spans="1:7" x14ac:dyDescent="0.2">
      <c r="B177" s="521">
        <v>119085</v>
      </c>
      <c r="C177" s="266" t="s">
        <v>426</v>
      </c>
      <c r="D177" s="521">
        <v>119</v>
      </c>
      <c r="E177" s="266" t="s">
        <v>402</v>
      </c>
      <c r="F177" s="522">
        <v>9.4</v>
      </c>
      <c r="G177" s="523">
        <v>933.20833333300004</v>
      </c>
    </row>
    <row r="178" spans="1:7" x14ac:dyDescent="0.2">
      <c r="B178" s="521">
        <v>119086</v>
      </c>
      <c r="C178" s="266" t="s">
        <v>427</v>
      </c>
      <c r="D178" s="521">
        <v>119</v>
      </c>
      <c r="E178" s="266" t="s">
        <v>402</v>
      </c>
      <c r="F178" s="522">
        <v>9.4769230769200004</v>
      </c>
      <c r="G178" s="523">
        <v>881.96551724100004</v>
      </c>
    </row>
    <row r="179" spans="1:7" x14ac:dyDescent="0.2">
      <c r="B179" s="521">
        <v>119087</v>
      </c>
      <c r="C179" s="266" t="s">
        <v>428</v>
      </c>
      <c r="D179" s="521">
        <v>119</v>
      </c>
      <c r="E179" s="266" t="s">
        <v>402</v>
      </c>
      <c r="F179" s="522">
        <v>9.2285714285699996</v>
      </c>
      <c r="G179" s="523">
        <v>934.16949152500001</v>
      </c>
    </row>
    <row r="180" spans="1:7" x14ac:dyDescent="0.2">
      <c r="A180" s="453"/>
      <c r="B180" s="521">
        <v>119089</v>
      </c>
      <c r="C180" s="266" t="s">
        <v>429</v>
      </c>
      <c r="D180" s="521">
        <v>119</v>
      </c>
      <c r="E180" s="266" t="s">
        <v>402</v>
      </c>
      <c r="F180" s="522">
        <v>9.3333333333299997</v>
      </c>
      <c r="G180" s="523">
        <v>952.65116279100005</v>
      </c>
    </row>
    <row r="181" spans="1:7" x14ac:dyDescent="0.2">
      <c r="B181" s="521">
        <v>119090</v>
      </c>
      <c r="C181" s="266" t="s">
        <v>430</v>
      </c>
      <c r="D181" s="521">
        <v>119</v>
      </c>
      <c r="E181" s="266" t="s">
        <v>402</v>
      </c>
      <c r="F181" s="522">
        <v>9.4499999999999993</v>
      </c>
      <c r="G181" s="523">
        <v>914.26315789499995</v>
      </c>
    </row>
    <row r="182" spans="1:7" x14ac:dyDescent="0.2">
      <c r="B182" s="521">
        <v>119091</v>
      </c>
      <c r="C182" s="266" t="s">
        <v>431</v>
      </c>
      <c r="D182" s="521">
        <v>119</v>
      </c>
      <c r="E182" s="266" t="s">
        <v>402</v>
      </c>
      <c r="F182" s="522">
        <v>9.6312499999999996</v>
      </c>
      <c r="G182" s="523">
        <v>868.74137930999996</v>
      </c>
    </row>
    <row r="183" spans="1:7" x14ac:dyDescent="0.2">
      <c r="B183" s="524">
        <v>119093</v>
      </c>
      <c r="C183" s="525" t="s">
        <v>432</v>
      </c>
      <c r="D183" s="524">
        <v>119</v>
      </c>
      <c r="E183" s="525" t="s">
        <v>402</v>
      </c>
      <c r="F183" s="526">
        <v>9.8666666666699996</v>
      </c>
      <c r="G183" s="527">
        <v>828.38888888899999</v>
      </c>
    </row>
    <row r="184" spans="1:7" x14ac:dyDescent="0.2">
      <c r="B184" s="528">
        <v>121000</v>
      </c>
      <c r="C184" s="529" t="s">
        <v>433</v>
      </c>
      <c r="D184" s="528">
        <v>121</v>
      </c>
      <c r="E184" s="529" t="s">
        <v>434</v>
      </c>
      <c r="F184" s="530">
        <v>10</v>
      </c>
      <c r="G184" s="531">
        <v>795.73611111100001</v>
      </c>
    </row>
    <row r="185" spans="1:7" x14ac:dyDescent="0.2">
      <c r="B185" s="521">
        <v>125001</v>
      </c>
      <c r="C185" s="266" t="s">
        <v>435</v>
      </c>
      <c r="D185" s="521">
        <v>125</v>
      </c>
      <c r="E185" s="266" t="s">
        <v>436</v>
      </c>
      <c r="F185" s="522">
        <v>9.6</v>
      </c>
      <c r="G185" s="523">
        <v>909</v>
      </c>
    </row>
    <row r="186" spans="1:7" x14ac:dyDescent="0.2">
      <c r="B186" s="521">
        <v>125005</v>
      </c>
      <c r="C186" s="266" t="s">
        <v>437</v>
      </c>
      <c r="D186" s="521">
        <v>125</v>
      </c>
      <c r="E186" s="266" t="s">
        <v>436</v>
      </c>
      <c r="F186" s="522">
        <v>10.199999999999999</v>
      </c>
      <c r="G186" s="523">
        <v>806.82926829300004</v>
      </c>
    </row>
    <row r="187" spans="1:7" x14ac:dyDescent="0.2">
      <c r="B187" s="521">
        <v>125006</v>
      </c>
      <c r="C187" s="266" t="s">
        <v>438</v>
      </c>
      <c r="D187" s="521">
        <v>125</v>
      </c>
      <c r="E187" s="266" t="s">
        <v>436</v>
      </c>
      <c r="F187" s="522">
        <v>9.9499999999999993</v>
      </c>
      <c r="G187" s="523">
        <v>892.12359550600002</v>
      </c>
    </row>
    <row r="188" spans="1:7" x14ac:dyDescent="0.2">
      <c r="B188" s="521">
        <v>125007</v>
      </c>
      <c r="C188" s="266" t="s">
        <v>439</v>
      </c>
      <c r="D188" s="521">
        <v>125</v>
      </c>
      <c r="E188" s="266" t="s">
        <v>436</v>
      </c>
      <c r="F188" s="522">
        <v>10.199999999999999</v>
      </c>
      <c r="G188" s="523">
        <v>833.29032258100005</v>
      </c>
    </row>
    <row r="189" spans="1:7" x14ac:dyDescent="0.2">
      <c r="B189" s="521">
        <v>125008</v>
      </c>
      <c r="C189" s="266" t="s">
        <v>440</v>
      </c>
      <c r="D189" s="521">
        <v>125</v>
      </c>
      <c r="E189" s="266" t="s">
        <v>436</v>
      </c>
      <c r="F189" s="522">
        <v>9.2437500000000004</v>
      </c>
      <c r="G189" s="523">
        <v>930.88235294100002</v>
      </c>
    </row>
    <row r="190" spans="1:7" x14ac:dyDescent="0.2">
      <c r="B190" s="521">
        <v>125013</v>
      </c>
      <c r="C190" s="266" t="s">
        <v>441</v>
      </c>
      <c r="D190" s="521">
        <v>125</v>
      </c>
      <c r="E190" s="266" t="s">
        <v>436</v>
      </c>
      <c r="F190" s="522">
        <v>9.9</v>
      </c>
      <c r="G190" s="523">
        <v>783.19672131100003</v>
      </c>
    </row>
    <row r="191" spans="1:7" x14ac:dyDescent="0.2">
      <c r="B191" s="521">
        <v>125017</v>
      </c>
      <c r="C191" s="266" t="s">
        <v>442</v>
      </c>
      <c r="D191" s="521">
        <v>125</v>
      </c>
      <c r="E191" s="266" t="s">
        <v>436</v>
      </c>
      <c r="F191" s="522">
        <v>9.6538461538500009</v>
      </c>
      <c r="G191" s="523">
        <v>799.58620689700001</v>
      </c>
    </row>
    <row r="192" spans="1:7" x14ac:dyDescent="0.2">
      <c r="B192" s="521">
        <v>125021</v>
      </c>
      <c r="C192" s="266" t="s">
        <v>443</v>
      </c>
      <c r="D192" s="521">
        <v>125</v>
      </c>
      <c r="E192" s="266" t="s">
        <v>436</v>
      </c>
      <c r="F192" s="522">
        <v>10</v>
      </c>
      <c r="G192" s="523">
        <v>833</v>
      </c>
    </row>
    <row r="193" spans="2:7" x14ac:dyDescent="0.2">
      <c r="B193" s="521">
        <v>125024</v>
      </c>
      <c r="C193" s="266" t="s">
        <v>444</v>
      </c>
      <c r="D193" s="521">
        <v>125</v>
      </c>
      <c r="E193" s="266" t="s">
        <v>436</v>
      </c>
      <c r="F193" s="522">
        <v>10.06</v>
      </c>
      <c r="G193" s="523">
        <v>814.57894736799994</v>
      </c>
    </row>
    <row r="194" spans="2:7" x14ac:dyDescent="0.2">
      <c r="B194" s="521">
        <v>125026</v>
      </c>
      <c r="C194" s="266" t="s">
        <v>445</v>
      </c>
      <c r="D194" s="521">
        <v>125</v>
      </c>
      <c r="E194" s="266" t="s">
        <v>436</v>
      </c>
      <c r="F194" s="522">
        <v>9.9</v>
      </c>
      <c r="G194" s="523">
        <v>827.25675675699995</v>
      </c>
    </row>
    <row r="195" spans="2:7" x14ac:dyDescent="0.2">
      <c r="B195" s="521">
        <v>125027</v>
      </c>
      <c r="C195" s="266" t="s">
        <v>446</v>
      </c>
      <c r="D195" s="521">
        <v>125</v>
      </c>
      <c r="E195" s="266" t="s">
        <v>436</v>
      </c>
      <c r="F195" s="522">
        <v>10.125</v>
      </c>
      <c r="G195" s="523">
        <v>793.10526315799996</v>
      </c>
    </row>
    <row r="196" spans="2:7" x14ac:dyDescent="0.2">
      <c r="B196" s="521">
        <v>125030</v>
      </c>
      <c r="C196" s="266" t="s">
        <v>447</v>
      </c>
      <c r="D196" s="521">
        <v>125</v>
      </c>
      <c r="E196" s="266" t="s">
        <v>436</v>
      </c>
      <c r="F196" s="522">
        <v>10</v>
      </c>
      <c r="G196" s="523">
        <v>815.14285714300001</v>
      </c>
    </row>
    <row r="197" spans="2:7" x14ac:dyDescent="0.2">
      <c r="B197" s="521">
        <v>125034</v>
      </c>
      <c r="C197" s="266" t="s">
        <v>448</v>
      </c>
      <c r="D197" s="521">
        <v>125</v>
      </c>
      <c r="E197" s="266" t="s">
        <v>436</v>
      </c>
      <c r="F197" s="522">
        <v>10.050000000000001</v>
      </c>
      <c r="G197" s="523">
        <v>830.40740740700005</v>
      </c>
    </row>
    <row r="198" spans="2:7" x14ac:dyDescent="0.2">
      <c r="B198" s="521">
        <v>125038</v>
      </c>
      <c r="C198" s="266" t="s">
        <v>449</v>
      </c>
      <c r="D198" s="521">
        <v>125</v>
      </c>
      <c r="E198" s="266" t="s">
        <v>436</v>
      </c>
      <c r="F198" s="522">
        <v>9.9499999999999993</v>
      </c>
      <c r="G198" s="523">
        <v>775.21428571399997</v>
      </c>
    </row>
    <row r="199" spans="2:7" x14ac:dyDescent="0.2">
      <c r="B199" s="521">
        <v>125039</v>
      </c>
      <c r="C199" s="266" t="s">
        <v>450</v>
      </c>
      <c r="D199" s="521">
        <v>125</v>
      </c>
      <c r="E199" s="266" t="s">
        <v>436</v>
      </c>
      <c r="F199" s="522">
        <v>10</v>
      </c>
      <c r="G199" s="523">
        <v>887.09259259299995</v>
      </c>
    </row>
    <row r="200" spans="2:7" x14ac:dyDescent="0.2">
      <c r="B200" s="521">
        <v>125046</v>
      </c>
      <c r="C200" s="266" t="s">
        <v>451</v>
      </c>
      <c r="D200" s="521">
        <v>125</v>
      </c>
      <c r="E200" s="266" t="s">
        <v>436</v>
      </c>
      <c r="F200" s="522">
        <v>9.9</v>
      </c>
      <c r="G200" s="523">
        <v>839.31707317099995</v>
      </c>
    </row>
    <row r="201" spans="2:7" x14ac:dyDescent="0.2">
      <c r="B201" s="521">
        <v>125047</v>
      </c>
      <c r="C201" s="266" t="s">
        <v>452</v>
      </c>
      <c r="D201" s="521">
        <v>125</v>
      </c>
      <c r="E201" s="266" t="s">
        <v>436</v>
      </c>
      <c r="F201" s="522">
        <v>10.0857142857</v>
      </c>
      <c r="G201" s="523">
        <v>830.53333333299997</v>
      </c>
    </row>
    <row r="202" spans="2:7" x14ac:dyDescent="0.2">
      <c r="B202" s="521">
        <v>125048</v>
      </c>
      <c r="C202" s="266" t="s">
        <v>453</v>
      </c>
      <c r="D202" s="521">
        <v>125</v>
      </c>
      <c r="E202" s="266" t="s">
        <v>436</v>
      </c>
      <c r="F202" s="522">
        <v>9.6999999999999993</v>
      </c>
      <c r="G202" s="523">
        <v>889.11428571399995</v>
      </c>
    </row>
    <row r="203" spans="2:7" x14ac:dyDescent="0.2">
      <c r="B203" s="521">
        <v>125049</v>
      </c>
      <c r="C203" s="266" t="s">
        <v>454</v>
      </c>
      <c r="D203" s="521">
        <v>125</v>
      </c>
      <c r="E203" s="266" t="s">
        <v>436</v>
      </c>
      <c r="F203" s="522">
        <v>10</v>
      </c>
      <c r="G203" s="523">
        <v>860</v>
      </c>
    </row>
    <row r="204" spans="2:7" x14ac:dyDescent="0.2">
      <c r="B204" s="521">
        <v>125056</v>
      </c>
      <c r="C204" s="266" t="s">
        <v>455</v>
      </c>
      <c r="D204" s="521">
        <v>125</v>
      </c>
      <c r="E204" s="266" t="s">
        <v>436</v>
      </c>
      <c r="F204" s="522">
        <v>9.8000000000000007</v>
      </c>
      <c r="G204" s="523">
        <v>833.29292929300004</v>
      </c>
    </row>
    <row r="205" spans="2:7" x14ac:dyDescent="0.2">
      <c r="B205" s="521">
        <v>125057</v>
      </c>
      <c r="C205" s="266" t="s">
        <v>456</v>
      </c>
      <c r="D205" s="521">
        <v>125</v>
      </c>
      <c r="E205" s="266" t="s">
        <v>436</v>
      </c>
      <c r="F205" s="522">
        <v>10.016666666700001</v>
      </c>
      <c r="G205" s="523">
        <v>837.44444444400006</v>
      </c>
    </row>
    <row r="206" spans="2:7" x14ac:dyDescent="0.2">
      <c r="B206" s="521">
        <v>125058</v>
      </c>
      <c r="C206" s="266" t="s">
        <v>457</v>
      </c>
      <c r="D206" s="521">
        <v>125</v>
      </c>
      <c r="E206" s="266" t="s">
        <v>436</v>
      </c>
      <c r="F206" s="522">
        <v>10.042857142900001</v>
      </c>
      <c r="G206" s="523">
        <v>772.91891891900002</v>
      </c>
    </row>
    <row r="207" spans="2:7" x14ac:dyDescent="0.2">
      <c r="B207" s="521">
        <v>125059</v>
      </c>
      <c r="C207" s="266" t="s">
        <v>458</v>
      </c>
      <c r="D207" s="521">
        <v>125</v>
      </c>
      <c r="E207" s="266" t="s">
        <v>436</v>
      </c>
      <c r="F207" s="522">
        <v>9.1157894736799996</v>
      </c>
      <c r="G207" s="523">
        <v>966.90909090900004</v>
      </c>
    </row>
    <row r="208" spans="2:7" x14ac:dyDescent="0.2">
      <c r="B208" s="521">
        <v>125061</v>
      </c>
      <c r="C208" s="266" t="s">
        <v>459</v>
      </c>
      <c r="D208" s="521">
        <v>125</v>
      </c>
      <c r="E208" s="266" t="s">
        <v>436</v>
      </c>
      <c r="F208" s="522">
        <v>10.050000000000001</v>
      </c>
      <c r="G208" s="523">
        <v>857.8125</v>
      </c>
    </row>
    <row r="209" spans="1:7" x14ac:dyDescent="0.2">
      <c r="B209" s="521">
        <v>125063</v>
      </c>
      <c r="C209" s="266" t="s">
        <v>460</v>
      </c>
      <c r="D209" s="521">
        <v>125</v>
      </c>
      <c r="E209" s="266" t="s">
        <v>436</v>
      </c>
      <c r="F209" s="522">
        <v>9.75</v>
      </c>
      <c r="G209" s="523">
        <v>886.424242424</v>
      </c>
    </row>
    <row r="210" spans="1:7" x14ac:dyDescent="0.2">
      <c r="A210" s="453"/>
      <c r="B210" s="521">
        <v>125065</v>
      </c>
      <c r="C210" s="266" t="s">
        <v>461</v>
      </c>
      <c r="D210" s="521">
        <v>125</v>
      </c>
      <c r="E210" s="266" t="s">
        <v>436</v>
      </c>
      <c r="F210" s="522">
        <v>10.130000000000001</v>
      </c>
      <c r="G210" s="523">
        <v>788.64</v>
      </c>
    </row>
    <row r="211" spans="1:7" x14ac:dyDescent="0.2">
      <c r="B211" s="521">
        <v>125066</v>
      </c>
      <c r="C211" s="266" t="s">
        <v>462</v>
      </c>
      <c r="D211" s="521">
        <v>125</v>
      </c>
      <c r="E211" s="266" t="s">
        <v>436</v>
      </c>
      <c r="F211" s="522">
        <v>10.0625</v>
      </c>
      <c r="G211" s="523">
        <v>798.35714285699999</v>
      </c>
    </row>
    <row r="212" spans="1:7" x14ac:dyDescent="0.2">
      <c r="B212" s="521">
        <v>125068</v>
      </c>
      <c r="C212" s="266" t="s">
        <v>463</v>
      </c>
      <c r="D212" s="521">
        <v>125</v>
      </c>
      <c r="E212" s="266" t="s">
        <v>436</v>
      </c>
      <c r="F212" s="522">
        <v>9.9</v>
      </c>
      <c r="G212" s="523">
        <v>864.78947368399997</v>
      </c>
    </row>
    <row r="213" spans="1:7" x14ac:dyDescent="0.2">
      <c r="B213" s="521">
        <v>125069</v>
      </c>
      <c r="C213" s="266" t="s">
        <v>464</v>
      </c>
      <c r="D213" s="521">
        <v>125</v>
      </c>
      <c r="E213" s="266" t="s">
        <v>436</v>
      </c>
      <c r="F213" s="522">
        <v>10</v>
      </c>
      <c r="G213" s="523">
        <v>824.84482758599995</v>
      </c>
    </row>
    <row r="214" spans="1:7" x14ac:dyDescent="0.2">
      <c r="B214" s="521">
        <v>125074</v>
      </c>
      <c r="C214" s="266" t="s">
        <v>465</v>
      </c>
      <c r="D214" s="521">
        <v>125</v>
      </c>
      <c r="E214" s="266" t="s">
        <v>436</v>
      </c>
      <c r="F214" s="522">
        <v>10.0777777778</v>
      </c>
      <c r="G214" s="523">
        <v>781.86363636399994</v>
      </c>
    </row>
    <row r="215" spans="1:7" x14ac:dyDescent="0.2">
      <c r="B215" s="521">
        <v>125078</v>
      </c>
      <c r="C215" s="266" t="s">
        <v>466</v>
      </c>
      <c r="D215" s="521">
        <v>125</v>
      </c>
      <c r="E215" s="266" t="s">
        <v>436</v>
      </c>
      <c r="F215" s="522">
        <v>10.199999999999999</v>
      </c>
      <c r="G215" s="523">
        <v>797.575757576</v>
      </c>
    </row>
    <row r="216" spans="1:7" x14ac:dyDescent="0.2">
      <c r="B216" s="521">
        <v>125079</v>
      </c>
      <c r="C216" s="266" t="s">
        <v>467</v>
      </c>
      <c r="D216" s="521">
        <v>125</v>
      </c>
      <c r="E216" s="266" t="s">
        <v>436</v>
      </c>
      <c r="F216" s="522">
        <v>10.25</v>
      </c>
      <c r="G216" s="523">
        <v>822.4</v>
      </c>
    </row>
    <row r="217" spans="1:7" x14ac:dyDescent="0.2">
      <c r="B217" s="521">
        <v>125081</v>
      </c>
      <c r="C217" s="266" t="s">
        <v>468</v>
      </c>
      <c r="D217" s="521">
        <v>125</v>
      </c>
      <c r="E217" s="266" t="s">
        <v>436</v>
      </c>
      <c r="F217" s="522">
        <v>9.7100000000000009</v>
      </c>
      <c r="G217" s="523">
        <v>819.69565217399997</v>
      </c>
    </row>
    <row r="218" spans="1:7" x14ac:dyDescent="0.2">
      <c r="B218" s="521">
        <v>125084</v>
      </c>
      <c r="C218" s="266" t="s">
        <v>469</v>
      </c>
      <c r="D218" s="521">
        <v>125</v>
      </c>
      <c r="E218" s="266" t="s">
        <v>436</v>
      </c>
      <c r="F218" s="522">
        <v>9.65</v>
      </c>
      <c r="G218" s="523">
        <v>895.08333333300004</v>
      </c>
    </row>
    <row r="219" spans="1:7" x14ac:dyDescent="0.2">
      <c r="B219" s="521">
        <v>125086</v>
      </c>
      <c r="C219" s="266" t="s">
        <v>470</v>
      </c>
      <c r="D219" s="521">
        <v>125</v>
      </c>
      <c r="E219" s="266" t="s">
        <v>436</v>
      </c>
      <c r="F219" s="522">
        <v>9.9</v>
      </c>
      <c r="G219" s="523">
        <v>832.015625</v>
      </c>
    </row>
    <row r="220" spans="1:7" x14ac:dyDescent="0.2">
      <c r="B220" s="521">
        <v>125087</v>
      </c>
      <c r="C220" s="266" t="s">
        <v>471</v>
      </c>
      <c r="D220" s="521">
        <v>125</v>
      </c>
      <c r="E220" s="266" t="s">
        <v>436</v>
      </c>
      <c r="F220" s="522">
        <v>9.875</v>
      </c>
      <c r="G220" s="523">
        <v>905.75</v>
      </c>
    </row>
    <row r="221" spans="1:7" x14ac:dyDescent="0.2">
      <c r="B221" s="521">
        <v>125094</v>
      </c>
      <c r="C221" s="266" t="s">
        <v>472</v>
      </c>
      <c r="D221" s="521">
        <v>125</v>
      </c>
      <c r="E221" s="266" t="s">
        <v>436</v>
      </c>
      <c r="F221" s="522">
        <v>10.1</v>
      </c>
      <c r="G221" s="523">
        <v>792.09090909099996</v>
      </c>
    </row>
    <row r="222" spans="1:7" x14ac:dyDescent="0.2">
      <c r="B222" s="521">
        <v>125096</v>
      </c>
      <c r="C222" s="266" t="s">
        <v>473</v>
      </c>
      <c r="D222" s="521">
        <v>125</v>
      </c>
      <c r="E222" s="266" t="s">
        <v>436</v>
      </c>
      <c r="F222" s="522">
        <v>10.333333333300001</v>
      </c>
      <c r="G222" s="523">
        <v>782.5</v>
      </c>
    </row>
    <row r="223" spans="1:7" x14ac:dyDescent="0.2">
      <c r="B223" s="521">
        <v>125098</v>
      </c>
      <c r="C223" s="266" t="s">
        <v>474</v>
      </c>
      <c r="D223" s="521">
        <v>125</v>
      </c>
      <c r="E223" s="266" t="s">
        <v>436</v>
      </c>
      <c r="F223" s="522">
        <v>9.6090909090899999</v>
      </c>
      <c r="G223" s="523">
        <v>898.13513513500004</v>
      </c>
    </row>
    <row r="224" spans="1:7" x14ac:dyDescent="0.2">
      <c r="B224" s="521">
        <v>125102</v>
      </c>
      <c r="C224" s="266" t="s">
        <v>475</v>
      </c>
      <c r="D224" s="521">
        <v>125</v>
      </c>
      <c r="E224" s="266" t="s">
        <v>436</v>
      </c>
      <c r="F224" s="522">
        <v>10.050000000000001</v>
      </c>
      <c r="G224" s="523">
        <v>813.709090909</v>
      </c>
    </row>
    <row r="225" spans="1:7" x14ac:dyDescent="0.2">
      <c r="B225" s="521">
        <v>125103</v>
      </c>
      <c r="C225" s="266" t="s">
        <v>476</v>
      </c>
      <c r="D225" s="521">
        <v>125</v>
      </c>
      <c r="E225" s="266" t="s">
        <v>436</v>
      </c>
      <c r="F225" s="522">
        <v>9.7444444444399991</v>
      </c>
      <c r="G225" s="523">
        <v>886.07692307699995</v>
      </c>
    </row>
    <row r="226" spans="1:7" x14ac:dyDescent="0.2">
      <c r="B226" s="521">
        <v>125107</v>
      </c>
      <c r="C226" s="266" t="s">
        <v>477</v>
      </c>
      <c r="D226" s="521">
        <v>125</v>
      </c>
      <c r="E226" s="266" t="s">
        <v>436</v>
      </c>
      <c r="F226" s="522">
        <v>8.9499999999999993</v>
      </c>
      <c r="G226" s="523">
        <v>1031</v>
      </c>
    </row>
    <row r="227" spans="1:7" x14ac:dyDescent="0.2">
      <c r="B227" s="521">
        <v>125108</v>
      </c>
      <c r="C227" s="266" t="s">
        <v>478</v>
      </c>
      <c r="D227" s="521">
        <v>125</v>
      </c>
      <c r="E227" s="266" t="s">
        <v>436</v>
      </c>
      <c r="F227" s="522">
        <v>9.6</v>
      </c>
      <c r="G227" s="523">
        <v>821.42307692300005</v>
      </c>
    </row>
    <row r="228" spans="1:7" x14ac:dyDescent="0.2">
      <c r="B228" s="521">
        <v>125110</v>
      </c>
      <c r="C228" s="266" t="s">
        <v>479</v>
      </c>
      <c r="D228" s="521">
        <v>125</v>
      </c>
      <c r="E228" s="266" t="s">
        <v>436</v>
      </c>
      <c r="F228" s="522">
        <v>9.5785714285699992</v>
      </c>
      <c r="G228" s="523">
        <v>873.88888888899999</v>
      </c>
    </row>
    <row r="229" spans="1:7" x14ac:dyDescent="0.2">
      <c r="B229" s="521">
        <v>125111</v>
      </c>
      <c r="C229" s="266" t="s">
        <v>480</v>
      </c>
      <c r="D229" s="521">
        <v>125</v>
      </c>
      <c r="E229" s="266" t="s">
        <v>436</v>
      </c>
      <c r="F229" s="522">
        <v>9.85</v>
      </c>
      <c r="G229" s="523">
        <v>855.53191489400001</v>
      </c>
    </row>
    <row r="230" spans="1:7" x14ac:dyDescent="0.2">
      <c r="B230" s="524">
        <v>125113</v>
      </c>
      <c r="C230" s="525" t="s">
        <v>481</v>
      </c>
      <c r="D230" s="524">
        <v>125</v>
      </c>
      <c r="E230" s="525" t="s">
        <v>436</v>
      </c>
      <c r="F230" s="526">
        <v>9.9499999999999993</v>
      </c>
      <c r="G230" s="527">
        <v>832.78378378399998</v>
      </c>
    </row>
    <row r="231" spans="1:7" x14ac:dyDescent="0.2">
      <c r="B231" s="521">
        <v>126011</v>
      </c>
      <c r="C231" s="266" t="s">
        <v>482</v>
      </c>
      <c r="D231" s="521">
        <v>126</v>
      </c>
      <c r="E231" s="266" t="s">
        <v>483</v>
      </c>
      <c r="F231" s="522">
        <v>9.35</v>
      </c>
      <c r="G231" s="523">
        <v>899.19298245599998</v>
      </c>
    </row>
    <row r="232" spans="1:7" x14ac:dyDescent="0.2">
      <c r="B232" s="521">
        <v>126020</v>
      </c>
      <c r="C232" s="266" t="s">
        <v>484</v>
      </c>
      <c r="D232" s="521">
        <v>126</v>
      </c>
      <c r="E232" s="266" t="s">
        <v>483</v>
      </c>
      <c r="F232" s="522">
        <v>9.1181818181800001</v>
      </c>
      <c r="G232" s="523">
        <v>873.18644067800005</v>
      </c>
    </row>
    <row r="233" spans="1:7" x14ac:dyDescent="0.2">
      <c r="B233" s="521">
        <v>126028</v>
      </c>
      <c r="C233" s="266" t="s">
        <v>485</v>
      </c>
      <c r="D233" s="521">
        <v>126</v>
      </c>
      <c r="E233" s="266" t="s">
        <v>483</v>
      </c>
      <c r="F233" s="522">
        <v>9.6</v>
      </c>
      <c r="G233" s="523">
        <v>879.54929577500002</v>
      </c>
    </row>
    <row r="234" spans="1:7" x14ac:dyDescent="0.2">
      <c r="B234" s="521">
        <v>126039</v>
      </c>
      <c r="C234" s="266" t="s">
        <v>486</v>
      </c>
      <c r="D234" s="521">
        <v>126</v>
      </c>
      <c r="E234" s="266" t="s">
        <v>483</v>
      </c>
      <c r="F234" s="522">
        <v>9.3000000000000007</v>
      </c>
      <c r="G234" s="523">
        <v>918.228571429</v>
      </c>
    </row>
    <row r="235" spans="1:7" x14ac:dyDescent="0.2">
      <c r="B235" s="521">
        <v>126045</v>
      </c>
      <c r="C235" s="266" t="s">
        <v>487</v>
      </c>
      <c r="D235" s="521">
        <v>126</v>
      </c>
      <c r="E235" s="266" t="s">
        <v>483</v>
      </c>
      <c r="F235" s="522">
        <v>9.3000000000000007</v>
      </c>
      <c r="G235" s="523">
        <v>835.21052631600003</v>
      </c>
    </row>
    <row r="236" spans="1:7" x14ac:dyDescent="0.2">
      <c r="B236" s="521">
        <v>126046</v>
      </c>
      <c r="C236" s="266" t="s">
        <v>488</v>
      </c>
      <c r="D236" s="521">
        <v>126</v>
      </c>
      <c r="E236" s="266" t="s">
        <v>483</v>
      </c>
      <c r="F236" s="522">
        <v>9.11538461538</v>
      </c>
      <c r="G236" s="523">
        <v>918.30232558099999</v>
      </c>
    </row>
    <row r="237" spans="1:7" x14ac:dyDescent="0.2">
      <c r="B237" s="521">
        <v>126047</v>
      </c>
      <c r="C237" s="266" t="s">
        <v>489</v>
      </c>
      <c r="D237" s="521">
        <v>126</v>
      </c>
      <c r="E237" s="266" t="s">
        <v>483</v>
      </c>
      <c r="F237" s="522">
        <v>9.1428571428600005</v>
      </c>
      <c r="G237" s="523">
        <v>917.32432432400003</v>
      </c>
    </row>
    <row r="238" spans="1:7" x14ac:dyDescent="0.2">
      <c r="B238" s="521">
        <v>126056</v>
      </c>
      <c r="C238" s="266" t="s">
        <v>490</v>
      </c>
      <c r="D238" s="521">
        <v>126</v>
      </c>
      <c r="E238" s="266" t="s">
        <v>483</v>
      </c>
      <c r="F238" s="522">
        <v>9.0500000000000007</v>
      </c>
      <c r="G238" s="523">
        <v>872.34831460700002</v>
      </c>
    </row>
    <row r="239" spans="1:7" x14ac:dyDescent="0.2">
      <c r="B239" s="521">
        <v>126058</v>
      </c>
      <c r="C239" s="266" t="s">
        <v>491</v>
      </c>
      <c r="D239" s="521">
        <v>126</v>
      </c>
      <c r="E239" s="266" t="s">
        <v>483</v>
      </c>
      <c r="F239" s="522">
        <v>9.25</v>
      </c>
      <c r="G239" s="523">
        <v>901.12307692299999</v>
      </c>
    </row>
    <row r="240" spans="1:7" x14ac:dyDescent="0.2">
      <c r="A240" s="453"/>
      <c r="B240" s="521">
        <v>126060</v>
      </c>
      <c r="C240" s="266" t="s">
        <v>492</v>
      </c>
      <c r="D240" s="521">
        <v>126</v>
      </c>
      <c r="E240" s="266" t="s">
        <v>483</v>
      </c>
      <c r="F240" s="522">
        <v>9.3699999999999992</v>
      </c>
      <c r="G240" s="523">
        <v>899.03030303000003</v>
      </c>
    </row>
    <row r="241" spans="2:7" x14ac:dyDescent="0.2">
      <c r="B241" s="521">
        <v>126066</v>
      </c>
      <c r="C241" s="266" t="s">
        <v>493</v>
      </c>
      <c r="D241" s="521">
        <v>126</v>
      </c>
      <c r="E241" s="266" t="s">
        <v>483</v>
      </c>
      <c r="F241" s="522">
        <v>9.4058823529400009</v>
      </c>
      <c r="G241" s="523">
        <v>871.94871794899996</v>
      </c>
    </row>
    <row r="242" spans="2:7" x14ac:dyDescent="0.2">
      <c r="B242" s="521">
        <v>126069</v>
      </c>
      <c r="C242" s="266" t="s">
        <v>494</v>
      </c>
      <c r="D242" s="521">
        <v>126</v>
      </c>
      <c r="E242" s="266" t="s">
        <v>483</v>
      </c>
      <c r="F242" s="522">
        <v>9.3000000000000007</v>
      </c>
      <c r="G242" s="523">
        <v>911.77011494299995</v>
      </c>
    </row>
    <row r="243" spans="2:7" x14ac:dyDescent="0.2">
      <c r="B243" s="521">
        <v>126072</v>
      </c>
      <c r="C243" s="266" t="s">
        <v>495</v>
      </c>
      <c r="D243" s="521">
        <v>126</v>
      </c>
      <c r="E243" s="266" t="s">
        <v>483</v>
      </c>
      <c r="F243" s="522">
        <v>9.5500000000000007</v>
      </c>
      <c r="G243" s="523">
        <v>873.88043478300006</v>
      </c>
    </row>
    <row r="244" spans="2:7" x14ac:dyDescent="0.2">
      <c r="B244" s="521">
        <v>126085</v>
      </c>
      <c r="C244" s="266" t="s">
        <v>496</v>
      </c>
      <c r="D244" s="521">
        <v>126</v>
      </c>
      <c r="E244" s="266" t="s">
        <v>483</v>
      </c>
      <c r="F244" s="522">
        <v>9</v>
      </c>
      <c r="G244" s="523">
        <v>961.89130434799995</v>
      </c>
    </row>
    <row r="245" spans="2:7" x14ac:dyDescent="0.2">
      <c r="B245" s="521">
        <v>126086</v>
      </c>
      <c r="C245" s="266" t="s">
        <v>497</v>
      </c>
      <c r="D245" s="521">
        <v>126</v>
      </c>
      <c r="E245" s="266" t="s">
        <v>483</v>
      </c>
      <c r="F245" s="522">
        <v>9.375</v>
      </c>
      <c r="G245" s="523">
        <v>900.45454545500002</v>
      </c>
    </row>
    <row r="246" spans="2:7" x14ac:dyDescent="0.2">
      <c r="B246" s="524">
        <v>126094</v>
      </c>
      <c r="C246" s="525" t="s">
        <v>498</v>
      </c>
      <c r="D246" s="524">
        <v>126</v>
      </c>
      <c r="E246" s="525" t="s">
        <v>483</v>
      </c>
      <c r="F246" s="526">
        <v>9.6999999999999993</v>
      </c>
      <c r="G246" s="527">
        <v>877.35555555600001</v>
      </c>
    </row>
    <row r="247" spans="2:7" x14ac:dyDescent="0.2">
      <c r="B247" s="521">
        <v>127008</v>
      </c>
      <c r="C247" s="266" t="s">
        <v>499</v>
      </c>
      <c r="D247" s="521">
        <v>127</v>
      </c>
      <c r="E247" s="266" t="s">
        <v>500</v>
      </c>
      <c r="F247" s="522">
        <v>8.7285714285699996</v>
      </c>
      <c r="G247" s="523">
        <v>865.28947368399997</v>
      </c>
    </row>
    <row r="248" spans="2:7" x14ac:dyDescent="0.2">
      <c r="B248" s="521">
        <v>127009</v>
      </c>
      <c r="C248" s="266" t="s">
        <v>501</v>
      </c>
      <c r="D248" s="521">
        <v>127</v>
      </c>
      <c r="E248" s="266" t="s">
        <v>500</v>
      </c>
      <c r="F248" s="522">
        <v>9.15</v>
      </c>
      <c r="G248" s="523">
        <v>908.61249999999995</v>
      </c>
    </row>
    <row r="249" spans="2:7" x14ac:dyDescent="0.2">
      <c r="B249" s="521">
        <v>127012</v>
      </c>
      <c r="C249" s="266" t="s">
        <v>502</v>
      </c>
      <c r="D249" s="521">
        <v>127</v>
      </c>
      <c r="E249" s="266" t="s">
        <v>500</v>
      </c>
      <c r="F249" s="522">
        <v>8.6999999999999993</v>
      </c>
      <c r="G249" s="523">
        <v>932.63888888899999</v>
      </c>
    </row>
    <row r="250" spans="2:7" x14ac:dyDescent="0.2">
      <c r="B250" s="521">
        <v>127013</v>
      </c>
      <c r="C250" s="266" t="s">
        <v>503</v>
      </c>
      <c r="D250" s="521">
        <v>127</v>
      </c>
      <c r="E250" s="266" t="s">
        <v>500</v>
      </c>
      <c r="F250" s="522">
        <v>8.75</v>
      </c>
      <c r="G250" s="523">
        <v>956.52380952399994</v>
      </c>
    </row>
    <row r="251" spans="2:7" x14ac:dyDescent="0.2">
      <c r="B251" s="521">
        <v>127014</v>
      </c>
      <c r="C251" s="266" t="s">
        <v>504</v>
      </c>
      <c r="D251" s="521">
        <v>127</v>
      </c>
      <c r="E251" s="266" t="s">
        <v>500</v>
      </c>
      <c r="F251" s="522">
        <v>8.5500000000000007</v>
      </c>
      <c r="G251" s="523">
        <v>868.64772727299999</v>
      </c>
    </row>
    <row r="252" spans="2:7" x14ac:dyDescent="0.2">
      <c r="B252" s="521">
        <v>127023</v>
      </c>
      <c r="C252" s="266" t="s">
        <v>505</v>
      </c>
      <c r="D252" s="521">
        <v>127</v>
      </c>
      <c r="E252" s="266" t="s">
        <v>500</v>
      </c>
      <c r="F252" s="522">
        <v>9</v>
      </c>
      <c r="G252" s="523">
        <v>982.31707317099995</v>
      </c>
    </row>
    <row r="253" spans="2:7" x14ac:dyDescent="0.2">
      <c r="B253" s="521">
        <v>127025</v>
      </c>
      <c r="C253" s="266" t="s">
        <v>506</v>
      </c>
      <c r="D253" s="521">
        <v>127</v>
      </c>
      <c r="E253" s="266" t="s">
        <v>500</v>
      </c>
      <c r="F253" s="522">
        <v>8.9499999999999993</v>
      </c>
      <c r="G253" s="523">
        <v>972.18987341800005</v>
      </c>
    </row>
    <row r="254" spans="2:7" x14ac:dyDescent="0.2">
      <c r="B254" s="521">
        <v>127032</v>
      </c>
      <c r="C254" s="266" t="s">
        <v>507</v>
      </c>
      <c r="D254" s="521">
        <v>127</v>
      </c>
      <c r="E254" s="266" t="s">
        <v>500</v>
      </c>
      <c r="F254" s="522">
        <v>8.8111111111099998</v>
      </c>
      <c r="G254" s="523">
        <v>902.09722222200003</v>
      </c>
    </row>
    <row r="255" spans="2:7" x14ac:dyDescent="0.2">
      <c r="B255" s="521">
        <v>127043</v>
      </c>
      <c r="C255" s="266" t="s">
        <v>508</v>
      </c>
      <c r="D255" s="521">
        <v>127</v>
      </c>
      <c r="E255" s="266" t="s">
        <v>500</v>
      </c>
      <c r="F255" s="522">
        <v>8.875</v>
      </c>
      <c r="G255" s="523">
        <v>881.10416666699996</v>
      </c>
    </row>
    <row r="256" spans="2:7" x14ac:dyDescent="0.2">
      <c r="B256" s="521">
        <v>127046</v>
      </c>
      <c r="C256" s="266" t="s">
        <v>509</v>
      </c>
      <c r="D256" s="521">
        <v>127</v>
      </c>
      <c r="E256" s="266" t="s">
        <v>500</v>
      </c>
      <c r="F256" s="522">
        <v>8.8625000000000007</v>
      </c>
      <c r="G256" s="523">
        <v>877.13636363600006</v>
      </c>
    </row>
    <row r="257" spans="1:7" x14ac:dyDescent="0.2">
      <c r="B257" s="521">
        <v>127047</v>
      </c>
      <c r="C257" s="266" t="s">
        <v>510</v>
      </c>
      <c r="D257" s="521">
        <v>127</v>
      </c>
      <c r="E257" s="266" t="s">
        <v>500</v>
      </c>
      <c r="F257" s="522">
        <v>8.9</v>
      </c>
      <c r="G257" s="523">
        <v>934.71428571399997</v>
      </c>
    </row>
    <row r="258" spans="1:7" x14ac:dyDescent="0.2">
      <c r="B258" s="521">
        <v>127052</v>
      </c>
      <c r="C258" s="266" t="s">
        <v>511</v>
      </c>
      <c r="D258" s="521">
        <v>127</v>
      </c>
      <c r="E258" s="266" t="s">
        <v>500</v>
      </c>
      <c r="F258" s="522">
        <v>9</v>
      </c>
      <c r="G258" s="523">
        <v>1024.2653061200001</v>
      </c>
    </row>
    <row r="259" spans="1:7" x14ac:dyDescent="0.2">
      <c r="B259" s="521">
        <v>127056</v>
      </c>
      <c r="C259" s="266" t="s">
        <v>512</v>
      </c>
      <c r="D259" s="521">
        <v>127</v>
      </c>
      <c r="E259" s="266" t="s">
        <v>500</v>
      </c>
      <c r="F259" s="522">
        <v>9.1</v>
      </c>
      <c r="G259" s="523">
        <v>931.75757575800003</v>
      </c>
    </row>
    <row r="260" spans="1:7" x14ac:dyDescent="0.2">
      <c r="B260" s="521">
        <v>127059</v>
      </c>
      <c r="C260" s="266" t="s">
        <v>513</v>
      </c>
      <c r="D260" s="521">
        <v>127</v>
      </c>
      <c r="E260" s="266" t="s">
        <v>500</v>
      </c>
      <c r="F260" s="522">
        <v>8.9499999999999993</v>
      </c>
      <c r="G260" s="523">
        <v>972.31666666700005</v>
      </c>
    </row>
    <row r="261" spans="1:7" x14ac:dyDescent="0.2">
      <c r="B261" s="521">
        <v>127062</v>
      </c>
      <c r="C261" s="266" t="s">
        <v>514</v>
      </c>
      <c r="D261" s="521">
        <v>127</v>
      </c>
      <c r="E261" s="266" t="s">
        <v>500</v>
      </c>
      <c r="F261" s="522">
        <v>8.75</v>
      </c>
      <c r="G261" s="523">
        <v>1025.1851851900001</v>
      </c>
    </row>
    <row r="262" spans="1:7" x14ac:dyDescent="0.2">
      <c r="B262" s="521">
        <v>127063</v>
      </c>
      <c r="C262" s="266" t="s">
        <v>515</v>
      </c>
      <c r="D262" s="521">
        <v>127</v>
      </c>
      <c r="E262" s="266" t="s">
        <v>500</v>
      </c>
      <c r="F262" s="522">
        <v>8.75</v>
      </c>
      <c r="G262" s="523">
        <v>937.93258427000001</v>
      </c>
    </row>
    <row r="263" spans="1:7" x14ac:dyDescent="0.2">
      <c r="B263" s="521">
        <v>127071</v>
      </c>
      <c r="C263" s="266" t="s">
        <v>516</v>
      </c>
      <c r="D263" s="521">
        <v>127</v>
      </c>
      <c r="E263" s="266" t="s">
        <v>500</v>
      </c>
      <c r="F263" s="522">
        <v>8.75</v>
      </c>
      <c r="G263" s="523">
        <v>848.27927927899998</v>
      </c>
    </row>
    <row r="264" spans="1:7" x14ac:dyDescent="0.2">
      <c r="B264" s="521">
        <v>127073</v>
      </c>
      <c r="C264" s="266" t="s">
        <v>517</v>
      </c>
      <c r="D264" s="521">
        <v>127</v>
      </c>
      <c r="E264" s="266" t="s">
        <v>500</v>
      </c>
      <c r="F264" s="522">
        <v>8.5500000000000007</v>
      </c>
      <c r="G264" s="523">
        <v>864.07843137299994</v>
      </c>
    </row>
    <row r="265" spans="1:7" x14ac:dyDescent="0.2">
      <c r="B265" s="521">
        <v>127075</v>
      </c>
      <c r="C265" s="266" t="s">
        <v>518</v>
      </c>
      <c r="D265" s="521">
        <v>127</v>
      </c>
      <c r="E265" s="266" t="s">
        <v>500</v>
      </c>
      <c r="F265" s="522">
        <v>8.7222222222199992</v>
      </c>
      <c r="G265" s="523">
        <v>843.04237288100001</v>
      </c>
    </row>
    <row r="266" spans="1:7" x14ac:dyDescent="0.2">
      <c r="B266" s="521">
        <v>127076</v>
      </c>
      <c r="C266" s="266" t="s">
        <v>519</v>
      </c>
      <c r="D266" s="521">
        <v>127</v>
      </c>
      <c r="E266" s="266" t="s">
        <v>500</v>
      </c>
      <c r="F266" s="522">
        <v>9.1076923076899998</v>
      </c>
      <c r="G266" s="523">
        <v>914.07894736799994</v>
      </c>
    </row>
    <row r="267" spans="1:7" x14ac:dyDescent="0.2">
      <c r="B267" s="521">
        <v>127079</v>
      </c>
      <c r="C267" s="266" t="s">
        <v>520</v>
      </c>
      <c r="D267" s="521">
        <v>127</v>
      </c>
      <c r="E267" s="266" t="s">
        <v>500</v>
      </c>
      <c r="F267" s="522">
        <v>8.8818181818199999</v>
      </c>
      <c r="G267" s="523">
        <v>951.73846153800002</v>
      </c>
    </row>
    <row r="268" spans="1:7" x14ac:dyDescent="0.2">
      <c r="B268" s="521">
        <v>127086</v>
      </c>
      <c r="C268" s="266" t="s">
        <v>521</v>
      </c>
      <c r="D268" s="521">
        <v>127</v>
      </c>
      <c r="E268" s="266" t="s">
        <v>500</v>
      </c>
      <c r="F268" s="522">
        <v>9.25</v>
      </c>
      <c r="G268" s="523">
        <v>894.08823529400001</v>
      </c>
    </row>
    <row r="269" spans="1:7" x14ac:dyDescent="0.2">
      <c r="B269" s="521">
        <v>127089</v>
      </c>
      <c r="C269" s="266" t="s">
        <v>522</v>
      </c>
      <c r="D269" s="521">
        <v>127</v>
      </c>
      <c r="E269" s="266" t="s">
        <v>500</v>
      </c>
      <c r="F269" s="522">
        <v>8.9090909090900006</v>
      </c>
      <c r="G269" s="523">
        <v>843.64406779700005</v>
      </c>
    </row>
    <row r="270" spans="1:7" x14ac:dyDescent="0.2">
      <c r="A270" s="453"/>
      <c r="B270" s="521">
        <v>127091</v>
      </c>
      <c r="C270" s="266" t="s">
        <v>523</v>
      </c>
      <c r="D270" s="521">
        <v>127</v>
      </c>
      <c r="E270" s="266" t="s">
        <v>500</v>
      </c>
      <c r="F270" s="522">
        <v>8.6</v>
      </c>
      <c r="G270" s="523">
        <v>854.88461538499996</v>
      </c>
    </row>
    <row r="271" spans="1:7" x14ac:dyDescent="0.2">
      <c r="B271" s="521">
        <v>127099</v>
      </c>
      <c r="C271" s="266" t="s">
        <v>524</v>
      </c>
      <c r="D271" s="521">
        <v>127</v>
      </c>
      <c r="E271" s="266" t="s">
        <v>500</v>
      </c>
      <c r="F271" s="522">
        <v>9.0333333333300008</v>
      </c>
      <c r="G271" s="523">
        <v>882.84615384599999</v>
      </c>
    </row>
    <row r="272" spans="1:7" x14ac:dyDescent="0.2">
      <c r="B272" s="521">
        <v>127100</v>
      </c>
      <c r="C272" s="266" t="s">
        <v>525</v>
      </c>
      <c r="D272" s="521">
        <v>127</v>
      </c>
      <c r="E272" s="266" t="s">
        <v>500</v>
      </c>
      <c r="F272" s="522">
        <v>9.0500000000000007</v>
      </c>
      <c r="G272" s="523">
        <v>947.24074074099997</v>
      </c>
    </row>
    <row r="273" spans="2:7" x14ac:dyDescent="0.2">
      <c r="B273" s="521">
        <v>127101</v>
      </c>
      <c r="C273" s="266" t="s">
        <v>526</v>
      </c>
      <c r="D273" s="521">
        <v>127</v>
      </c>
      <c r="E273" s="266" t="s">
        <v>500</v>
      </c>
      <c r="F273" s="522">
        <v>8.4</v>
      </c>
      <c r="G273" s="523">
        <v>872.58181818200001</v>
      </c>
    </row>
    <row r="274" spans="2:7" x14ac:dyDescent="0.2">
      <c r="B274" s="521">
        <v>127102</v>
      </c>
      <c r="C274" s="266" t="s">
        <v>527</v>
      </c>
      <c r="D274" s="521">
        <v>127</v>
      </c>
      <c r="E274" s="266" t="s">
        <v>500</v>
      </c>
      <c r="F274" s="522">
        <v>8.35</v>
      </c>
      <c r="G274" s="523">
        <v>860.125</v>
      </c>
    </row>
    <row r="275" spans="2:7" x14ac:dyDescent="0.2">
      <c r="B275" s="521">
        <v>127103</v>
      </c>
      <c r="C275" s="266" t="s">
        <v>528</v>
      </c>
      <c r="D275" s="521">
        <v>127</v>
      </c>
      <c r="E275" s="266" t="s">
        <v>500</v>
      </c>
      <c r="F275" s="522">
        <v>8.65</v>
      </c>
      <c r="G275" s="523">
        <v>886.66292134800005</v>
      </c>
    </row>
    <row r="276" spans="2:7" x14ac:dyDescent="0.2">
      <c r="B276" s="524">
        <v>127104</v>
      </c>
      <c r="C276" s="525" t="s">
        <v>529</v>
      </c>
      <c r="D276" s="524">
        <v>127</v>
      </c>
      <c r="E276" s="525" t="s">
        <v>500</v>
      </c>
      <c r="F276" s="526">
        <v>8.5</v>
      </c>
      <c r="G276" s="527">
        <v>872.80952380999997</v>
      </c>
    </row>
    <row r="277" spans="2:7" x14ac:dyDescent="0.2">
      <c r="B277" s="521">
        <v>128006</v>
      </c>
      <c r="C277" s="266" t="s">
        <v>530</v>
      </c>
      <c r="D277" s="521">
        <v>128</v>
      </c>
      <c r="E277" s="266" t="s">
        <v>531</v>
      </c>
      <c r="F277" s="522">
        <v>8.9499999999999993</v>
      </c>
      <c r="G277" s="523">
        <v>777.23333333300002</v>
      </c>
    </row>
    <row r="278" spans="2:7" x14ac:dyDescent="0.2">
      <c r="B278" s="521">
        <v>128007</v>
      </c>
      <c r="C278" s="266" t="s">
        <v>532</v>
      </c>
      <c r="D278" s="521">
        <v>128</v>
      </c>
      <c r="E278" s="266" t="s">
        <v>531</v>
      </c>
      <c r="F278" s="522">
        <v>9.15</v>
      </c>
      <c r="G278" s="523">
        <v>784.85714285699999</v>
      </c>
    </row>
    <row r="279" spans="2:7" x14ac:dyDescent="0.2">
      <c r="B279" s="521">
        <v>128014</v>
      </c>
      <c r="C279" s="266" t="s">
        <v>533</v>
      </c>
      <c r="D279" s="521">
        <v>128</v>
      </c>
      <c r="E279" s="266" t="s">
        <v>531</v>
      </c>
      <c r="F279" s="522">
        <v>9.0500000000000007</v>
      </c>
      <c r="G279" s="523">
        <v>752.38613861399995</v>
      </c>
    </row>
    <row r="280" spans="2:7" x14ac:dyDescent="0.2">
      <c r="B280" s="521">
        <v>128020</v>
      </c>
      <c r="C280" s="266" t="s">
        <v>534</v>
      </c>
      <c r="D280" s="521">
        <v>128</v>
      </c>
      <c r="E280" s="266" t="s">
        <v>531</v>
      </c>
      <c r="F280" s="522">
        <v>8.9</v>
      </c>
      <c r="G280" s="523">
        <v>760.01098901099999</v>
      </c>
    </row>
    <row r="281" spans="2:7" x14ac:dyDescent="0.2">
      <c r="B281" s="521">
        <v>128039</v>
      </c>
      <c r="C281" s="266" t="s">
        <v>535</v>
      </c>
      <c r="D281" s="521">
        <v>128</v>
      </c>
      <c r="E281" s="266" t="s">
        <v>531</v>
      </c>
      <c r="F281" s="522">
        <v>9.1125000000000007</v>
      </c>
      <c r="G281" s="523">
        <v>832.73170731699997</v>
      </c>
    </row>
    <row r="282" spans="2:7" x14ac:dyDescent="0.2">
      <c r="B282" s="521">
        <v>128045</v>
      </c>
      <c r="C282" s="266" t="s">
        <v>536</v>
      </c>
      <c r="D282" s="521">
        <v>128</v>
      </c>
      <c r="E282" s="266" t="s">
        <v>531</v>
      </c>
      <c r="F282" s="522">
        <v>9.0500000000000007</v>
      </c>
      <c r="G282" s="523">
        <v>733.58928571399997</v>
      </c>
    </row>
    <row r="283" spans="2:7" x14ac:dyDescent="0.2">
      <c r="B283" s="521">
        <v>128047</v>
      </c>
      <c r="C283" s="266" t="s">
        <v>537</v>
      </c>
      <c r="D283" s="521">
        <v>128</v>
      </c>
      <c r="E283" s="266" t="s">
        <v>531</v>
      </c>
      <c r="F283" s="522">
        <v>9.15</v>
      </c>
      <c r="G283" s="523">
        <v>729.43333333299995</v>
      </c>
    </row>
    <row r="284" spans="2:7" x14ac:dyDescent="0.2">
      <c r="B284" s="521">
        <v>128058</v>
      </c>
      <c r="C284" s="266" t="s">
        <v>538</v>
      </c>
      <c r="D284" s="521">
        <v>128</v>
      </c>
      <c r="E284" s="266" t="s">
        <v>531</v>
      </c>
      <c r="F284" s="522">
        <v>9.15</v>
      </c>
      <c r="G284" s="523">
        <v>749.88709677400004</v>
      </c>
    </row>
    <row r="285" spans="2:7" x14ac:dyDescent="0.2">
      <c r="B285" s="521">
        <v>128061</v>
      </c>
      <c r="C285" s="266" t="s">
        <v>539</v>
      </c>
      <c r="D285" s="521">
        <v>128</v>
      </c>
      <c r="E285" s="266" t="s">
        <v>531</v>
      </c>
      <c r="F285" s="522">
        <v>9</v>
      </c>
      <c r="G285" s="523">
        <v>767.424242424</v>
      </c>
    </row>
    <row r="286" spans="2:7" x14ac:dyDescent="0.2">
      <c r="B286" s="521">
        <v>128064</v>
      </c>
      <c r="C286" s="266" t="s">
        <v>540</v>
      </c>
      <c r="D286" s="521">
        <v>128</v>
      </c>
      <c r="E286" s="266" t="s">
        <v>531</v>
      </c>
      <c r="F286" s="522">
        <v>9.11538461538</v>
      </c>
      <c r="G286" s="523">
        <v>759.42391304299997</v>
      </c>
    </row>
    <row r="287" spans="2:7" x14ac:dyDescent="0.2">
      <c r="B287" s="521">
        <v>128082</v>
      </c>
      <c r="C287" s="266" t="s">
        <v>541</v>
      </c>
      <c r="D287" s="521">
        <v>128</v>
      </c>
      <c r="E287" s="266" t="s">
        <v>531</v>
      </c>
      <c r="F287" s="522">
        <v>8.86</v>
      </c>
      <c r="G287" s="523">
        <v>802.97297297299997</v>
      </c>
    </row>
    <row r="288" spans="2:7" x14ac:dyDescent="0.2">
      <c r="B288" s="521">
        <v>128115</v>
      </c>
      <c r="C288" s="266" t="s">
        <v>542</v>
      </c>
      <c r="D288" s="521">
        <v>128</v>
      </c>
      <c r="E288" s="266" t="s">
        <v>531</v>
      </c>
      <c r="F288" s="522">
        <v>9.1999999999999993</v>
      </c>
      <c r="G288" s="523">
        <v>740.367816092</v>
      </c>
    </row>
    <row r="289" spans="1:7" x14ac:dyDescent="0.2">
      <c r="B289" s="521">
        <v>128126</v>
      </c>
      <c r="C289" s="266" t="s">
        <v>543</v>
      </c>
      <c r="D289" s="521">
        <v>128</v>
      </c>
      <c r="E289" s="266" t="s">
        <v>531</v>
      </c>
      <c r="F289" s="522">
        <v>9.0500000000000007</v>
      </c>
      <c r="G289" s="523">
        <v>749.49333333300001</v>
      </c>
    </row>
    <row r="290" spans="1:7" x14ac:dyDescent="0.2">
      <c r="B290" s="521">
        <v>128128</v>
      </c>
      <c r="C290" s="266" t="s">
        <v>544</v>
      </c>
      <c r="D290" s="521">
        <v>128</v>
      </c>
      <c r="E290" s="266" t="s">
        <v>531</v>
      </c>
      <c r="F290" s="522">
        <v>9.25</v>
      </c>
      <c r="G290" s="523">
        <v>737.015625</v>
      </c>
    </row>
    <row r="291" spans="1:7" x14ac:dyDescent="0.2">
      <c r="B291" s="521">
        <v>128131</v>
      </c>
      <c r="C291" s="266" t="s">
        <v>545</v>
      </c>
      <c r="D291" s="521">
        <v>128</v>
      </c>
      <c r="E291" s="266" t="s">
        <v>531</v>
      </c>
      <c r="F291" s="522">
        <v>9.15</v>
      </c>
      <c r="G291" s="523">
        <v>764.3</v>
      </c>
    </row>
    <row r="292" spans="1:7" x14ac:dyDescent="0.2">
      <c r="B292" s="521">
        <v>128137</v>
      </c>
      <c r="C292" s="266" t="s">
        <v>546</v>
      </c>
      <c r="D292" s="521">
        <v>128</v>
      </c>
      <c r="E292" s="266" t="s">
        <v>531</v>
      </c>
      <c r="F292" s="522">
        <v>9.15</v>
      </c>
      <c r="G292" s="523">
        <v>711.64102564100006</v>
      </c>
    </row>
    <row r="293" spans="1:7" x14ac:dyDescent="0.2">
      <c r="B293" s="521">
        <v>128138</v>
      </c>
      <c r="C293" s="266" t="s">
        <v>547</v>
      </c>
      <c r="D293" s="521">
        <v>128</v>
      </c>
      <c r="E293" s="266" t="s">
        <v>531</v>
      </c>
      <c r="F293" s="522">
        <v>8.9</v>
      </c>
      <c r="G293" s="523">
        <v>796.70689655199999</v>
      </c>
    </row>
    <row r="294" spans="1:7" x14ac:dyDescent="0.2">
      <c r="B294" s="524">
        <v>128139</v>
      </c>
      <c r="C294" s="525" t="s">
        <v>548</v>
      </c>
      <c r="D294" s="524">
        <v>128</v>
      </c>
      <c r="E294" s="525" t="s">
        <v>531</v>
      </c>
      <c r="F294" s="526">
        <v>9.1999999999999993</v>
      </c>
      <c r="G294" s="527">
        <v>746.90825688100006</v>
      </c>
    </row>
    <row r="295" spans="1:7" x14ac:dyDescent="0.2">
      <c r="B295" s="521">
        <v>135010</v>
      </c>
      <c r="C295" s="266" t="s">
        <v>549</v>
      </c>
      <c r="D295" s="521">
        <v>135</v>
      </c>
      <c r="E295" s="266" t="s">
        <v>550</v>
      </c>
      <c r="F295" s="522">
        <v>8.25</v>
      </c>
      <c r="G295" s="523">
        <v>832.33783783800004</v>
      </c>
    </row>
    <row r="296" spans="1:7" x14ac:dyDescent="0.2">
      <c r="B296" s="521">
        <v>135015</v>
      </c>
      <c r="C296" s="266" t="s">
        <v>551</v>
      </c>
      <c r="D296" s="521">
        <v>135</v>
      </c>
      <c r="E296" s="266" t="s">
        <v>550</v>
      </c>
      <c r="F296" s="522">
        <v>7.8</v>
      </c>
      <c r="G296" s="523">
        <v>888.86861313899999</v>
      </c>
    </row>
    <row r="297" spans="1:7" x14ac:dyDescent="0.2">
      <c r="B297" s="521">
        <v>135016</v>
      </c>
      <c r="C297" s="266" t="s">
        <v>552</v>
      </c>
      <c r="D297" s="521">
        <v>135</v>
      </c>
      <c r="E297" s="266" t="s">
        <v>550</v>
      </c>
      <c r="F297" s="522">
        <v>8.15</v>
      </c>
      <c r="G297" s="523">
        <v>813.179104478</v>
      </c>
    </row>
    <row r="298" spans="1:7" x14ac:dyDescent="0.2">
      <c r="B298" s="521">
        <v>135019</v>
      </c>
      <c r="C298" s="266" t="s">
        <v>553</v>
      </c>
      <c r="D298" s="521">
        <v>135</v>
      </c>
      <c r="E298" s="266" t="s">
        <v>550</v>
      </c>
      <c r="F298" s="522">
        <v>7.7</v>
      </c>
      <c r="G298" s="523">
        <v>944.63492063499996</v>
      </c>
    </row>
    <row r="299" spans="1:7" x14ac:dyDescent="0.2">
      <c r="B299" s="521">
        <v>135020</v>
      </c>
      <c r="C299" s="266" t="s">
        <v>554</v>
      </c>
      <c r="D299" s="521">
        <v>135</v>
      </c>
      <c r="E299" s="266" t="s">
        <v>550</v>
      </c>
      <c r="F299" s="522">
        <v>8</v>
      </c>
      <c r="G299" s="523">
        <v>812.97619047600006</v>
      </c>
    </row>
    <row r="300" spans="1:7" x14ac:dyDescent="0.2">
      <c r="A300" s="453"/>
      <c r="B300" s="521">
        <v>135021</v>
      </c>
      <c r="C300" s="266" t="s">
        <v>555</v>
      </c>
      <c r="D300" s="521">
        <v>135</v>
      </c>
      <c r="E300" s="266" t="s">
        <v>550</v>
      </c>
      <c r="F300" s="522">
        <v>8.3800000000000008</v>
      </c>
      <c r="G300" s="523">
        <v>793.38095238100004</v>
      </c>
    </row>
    <row r="301" spans="1:7" x14ac:dyDescent="0.2">
      <c r="B301" s="521">
        <v>135025</v>
      </c>
      <c r="C301" s="266" t="s">
        <v>556</v>
      </c>
      <c r="D301" s="521">
        <v>135</v>
      </c>
      <c r="E301" s="266" t="s">
        <v>550</v>
      </c>
      <c r="F301" s="522">
        <v>7.8</v>
      </c>
      <c r="G301" s="523">
        <v>1055.0227272699999</v>
      </c>
    </row>
    <row r="302" spans="1:7" x14ac:dyDescent="0.2">
      <c r="B302" s="521">
        <v>135026</v>
      </c>
      <c r="C302" s="266" t="s">
        <v>557</v>
      </c>
      <c r="D302" s="521">
        <v>135</v>
      </c>
      <c r="E302" s="266" t="s">
        <v>550</v>
      </c>
      <c r="F302" s="522">
        <v>7.9</v>
      </c>
      <c r="G302" s="523">
        <v>910.56896551700004</v>
      </c>
    </row>
    <row r="303" spans="1:7" x14ac:dyDescent="0.2">
      <c r="B303" s="521">
        <v>135027</v>
      </c>
      <c r="C303" s="266" t="s">
        <v>558</v>
      </c>
      <c r="D303" s="521">
        <v>135</v>
      </c>
      <c r="E303" s="266" t="s">
        <v>550</v>
      </c>
      <c r="F303" s="522">
        <v>8.4499999999999993</v>
      </c>
      <c r="G303" s="523">
        <v>765.59574468100004</v>
      </c>
    </row>
    <row r="304" spans="1:7" x14ac:dyDescent="0.2">
      <c r="B304" s="521">
        <v>135031</v>
      </c>
      <c r="C304" s="266" t="s">
        <v>559</v>
      </c>
      <c r="D304" s="521">
        <v>135</v>
      </c>
      <c r="E304" s="266" t="s">
        <v>550</v>
      </c>
      <c r="F304" s="522">
        <v>8.5500000000000007</v>
      </c>
      <c r="G304" s="523">
        <v>766.53846153799998</v>
      </c>
    </row>
    <row r="305" spans="2:7" x14ac:dyDescent="0.2">
      <c r="B305" s="524">
        <v>135032</v>
      </c>
      <c r="C305" s="525" t="s">
        <v>560</v>
      </c>
      <c r="D305" s="524">
        <v>135</v>
      </c>
      <c r="E305" s="525" t="s">
        <v>550</v>
      </c>
      <c r="F305" s="526">
        <v>7.65</v>
      </c>
      <c r="G305" s="527">
        <v>1044.5153846200001</v>
      </c>
    </row>
    <row r="306" spans="2:7" x14ac:dyDescent="0.2">
      <c r="B306" s="521">
        <v>136002</v>
      </c>
      <c r="C306" s="266" t="s">
        <v>561</v>
      </c>
      <c r="D306" s="521">
        <v>136</v>
      </c>
      <c r="E306" s="266" t="s">
        <v>562</v>
      </c>
      <c r="F306" s="522">
        <v>8.8000000000000007</v>
      </c>
      <c r="G306" s="523">
        <v>937.02061855700003</v>
      </c>
    </row>
    <row r="307" spans="2:7" x14ac:dyDescent="0.2">
      <c r="B307" s="521">
        <v>136003</v>
      </c>
      <c r="C307" s="266" t="s">
        <v>563</v>
      </c>
      <c r="D307" s="521">
        <v>136</v>
      </c>
      <c r="E307" s="266" t="s">
        <v>562</v>
      </c>
      <c r="F307" s="522">
        <v>8.75</v>
      </c>
      <c r="G307" s="523">
        <v>947.84210526300001</v>
      </c>
    </row>
    <row r="308" spans="2:7" x14ac:dyDescent="0.2">
      <c r="B308" s="521">
        <v>136007</v>
      </c>
      <c r="C308" s="266" t="s">
        <v>564</v>
      </c>
      <c r="D308" s="521">
        <v>136</v>
      </c>
      <c r="E308" s="266" t="s">
        <v>562</v>
      </c>
      <c r="F308" s="522">
        <v>7.6</v>
      </c>
      <c r="G308" s="523">
        <v>1171.9285714299999</v>
      </c>
    </row>
    <row r="309" spans="2:7" x14ac:dyDescent="0.2">
      <c r="B309" s="521">
        <v>136009</v>
      </c>
      <c r="C309" s="266" t="s">
        <v>565</v>
      </c>
      <c r="D309" s="521">
        <v>136</v>
      </c>
      <c r="E309" s="266" t="s">
        <v>562</v>
      </c>
      <c r="F309" s="522">
        <v>8.9499999999999993</v>
      </c>
      <c r="G309" s="523">
        <v>945</v>
      </c>
    </row>
    <row r="310" spans="2:7" x14ac:dyDescent="0.2">
      <c r="B310" s="521">
        <v>136010</v>
      </c>
      <c r="C310" s="266" t="s">
        <v>566</v>
      </c>
      <c r="D310" s="521">
        <v>136</v>
      </c>
      <c r="E310" s="266" t="s">
        <v>562</v>
      </c>
      <c r="F310" s="522">
        <v>8.15</v>
      </c>
      <c r="G310" s="523">
        <v>882.478991597</v>
      </c>
    </row>
    <row r="311" spans="2:7" x14ac:dyDescent="0.2">
      <c r="B311" s="521">
        <v>136015</v>
      </c>
      <c r="C311" s="266" t="s">
        <v>567</v>
      </c>
      <c r="D311" s="521">
        <v>136</v>
      </c>
      <c r="E311" s="266" t="s">
        <v>562</v>
      </c>
      <c r="F311" s="522">
        <v>8.8000000000000007</v>
      </c>
      <c r="G311" s="523">
        <v>1014.75</v>
      </c>
    </row>
    <row r="312" spans="2:7" x14ac:dyDescent="0.2">
      <c r="B312" s="521">
        <v>136018</v>
      </c>
      <c r="C312" s="266" t="s">
        <v>568</v>
      </c>
      <c r="D312" s="521">
        <v>136</v>
      </c>
      <c r="E312" s="266" t="s">
        <v>562</v>
      </c>
      <c r="F312" s="522">
        <v>8.3000000000000007</v>
      </c>
      <c r="G312" s="523">
        <v>864.3</v>
      </c>
    </row>
    <row r="313" spans="2:7" x14ac:dyDescent="0.2">
      <c r="B313" s="521">
        <v>136019</v>
      </c>
      <c r="C313" s="266" t="s">
        <v>569</v>
      </c>
      <c r="D313" s="521">
        <v>136</v>
      </c>
      <c r="E313" s="266" t="s">
        <v>562</v>
      </c>
      <c r="F313" s="522">
        <v>8.35</v>
      </c>
      <c r="G313" s="523">
        <v>883.25</v>
      </c>
    </row>
    <row r="314" spans="2:7" x14ac:dyDescent="0.2">
      <c r="B314" s="521">
        <v>136020</v>
      </c>
      <c r="C314" s="266" t="s">
        <v>570</v>
      </c>
      <c r="D314" s="521">
        <v>136</v>
      </c>
      <c r="E314" s="266" t="s">
        <v>562</v>
      </c>
      <c r="F314" s="522">
        <v>8.8222222222200006</v>
      </c>
      <c r="G314" s="523">
        <v>964.94871794899996</v>
      </c>
    </row>
    <row r="315" spans="2:7" x14ac:dyDescent="0.2">
      <c r="B315" s="521">
        <v>136021</v>
      </c>
      <c r="C315" s="266" t="s">
        <v>571</v>
      </c>
      <c r="D315" s="521">
        <v>136</v>
      </c>
      <c r="E315" s="266" t="s">
        <v>562</v>
      </c>
      <c r="F315" s="522">
        <v>8.0352941176500003</v>
      </c>
      <c r="G315" s="523">
        <v>1078.6956521699999</v>
      </c>
    </row>
    <row r="316" spans="2:7" x14ac:dyDescent="0.2">
      <c r="B316" s="521">
        <v>136024</v>
      </c>
      <c r="C316" s="266" t="s">
        <v>572</v>
      </c>
      <c r="D316" s="521">
        <v>136</v>
      </c>
      <c r="E316" s="266" t="s">
        <v>562</v>
      </c>
      <c r="F316" s="522">
        <v>8.85</v>
      </c>
      <c r="G316" s="523">
        <v>970.68181818200003</v>
      </c>
    </row>
    <row r="317" spans="2:7" x14ac:dyDescent="0.2">
      <c r="B317" s="521">
        <v>136027</v>
      </c>
      <c r="C317" s="266" t="s">
        <v>573</v>
      </c>
      <c r="D317" s="521">
        <v>136</v>
      </c>
      <c r="E317" s="266" t="s">
        <v>562</v>
      </c>
      <c r="F317" s="522">
        <v>8.7090909090899995</v>
      </c>
      <c r="G317" s="523">
        <v>1002.43333333</v>
      </c>
    </row>
    <row r="318" spans="2:7" x14ac:dyDescent="0.2">
      <c r="B318" s="521">
        <v>136028</v>
      </c>
      <c r="C318" s="266" t="s">
        <v>574</v>
      </c>
      <c r="D318" s="521">
        <v>136</v>
      </c>
      <c r="E318" s="266" t="s">
        <v>562</v>
      </c>
      <c r="F318" s="522">
        <v>8.2555555555600009</v>
      </c>
      <c r="G318" s="523">
        <v>1081.81632653</v>
      </c>
    </row>
    <row r="319" spans="2:7" x14ac:dyDescent="0.2">
      <c r="B319" s="521">
        <v>136029</v>
      </c>
      <c r="C319" s="266" t="s">
        <v>575</v>
      </c>
      <c r="D319" s="521">
        <v>136</v>
      </c>
      <c r="E319" s="266" t="s">
        <v>562</v>
      </c>
      <c r="F319" s="522">
        <v>8.92</v>
      </c>
      <c r="G319" s="523">
        <v>950.64705882400006</v>
      </c>
    </row>
    <row r="320" spans="2:7" x14ac:dyDescent="0.2">
      <c r="B320" s="521">
        <v>136033</v>
      </c>
      <c r="C320" s="266" t="s">
        <v>576</v>
      </c>
      <c r="D320" s="521">
        <v>136</v>
      </c>
      <c r="E320" s="266" t="s">
        <v>562</v>
      </c>
      <c r="F320" s="522">
        <v>8.65</v>
      </c>
      <c r="G320" s="523">
        <v>920.08333333300004</v>
      </c>
    </row>
    <row r="321" spans="1:7" x14ac:dyDescent="0.2">
      <c r="B321" s="521">
        <v>136034</v>
      </c>
      <c r="C321" s="266" t="s">
        <v>577</v>
      </c>
      <c r="D321" s="521">
        <v>136</v>
      </c>
      <c r="E321" s="266" t="s">
        <v>562</v>
      </c>
      <c r="F321" s="522">
        <v>8.9499999999999993</v>
      </c>
      <c r="G321" s="523">
        <v>956.83333333300004</v>
      </c>
    </row>
    <row r="322" spans="1:7" x14ac:dyDescent="0.2">
      <c r="B322" s="521">
        <v>136035</v>
      </c>
      <c r="C322" s="266" t="s">
        <v>578</v>
      </c>
      <c r="D322" s="521">
        <v>136</v>
      </c>
      <c r="E322" s="266" t="s">
        <v>562</v>
      </c>
      <c r="F322" s="522">
        <v>8.5</v>
      </c>
      <c r="G322" s="523">
        <v>882.09302325600004</v>
      </c>
    </row>
    <row r="323" spans="1:7" x14ac:dyDescent="0.2">
      <c r="B323" s="521">
        <v>136037</v>
      </c>
      <c r="C323" s="266" t="s">
        <v>579</v>
      </c>
      <c r="D323" s="521">
        <v>136</v>
      </c>
      <c r="E323" s="266" t="s">
        <v>562</v>
      </c>
      <c r="F323" s="522">
        <v>8.4</v>
      </c>
      <c r="G323" s="523">
        <v>803.24242424199997</v>
      </c>
    </row>
    <row r="324" spans="1:7" x14ac:dyDescent="0.2">
      <c r="B324" s="521">
        <v>136038</v>
      </c>
      <c r="C324" s="266" t="s">
        <v>580</v>
      </c>
      <c r="D324" s="521">
        <v>136</v>
      </c>
      <c r="E324" s="266" t="s">
        <v>562</v>
      </c>
      <c r="F324" s="522">
        <v>8</v>
      </c>
      <c r="G324" s="523">
        <v>936.28571428600003</v>
      </c>
    </row>
    <row r="325" spans="1:7" x14ac:dyDescent="0.2">
      <c r="B325" s="521">
        <v>136040</v>
      </c>
      <c r="C325" s="266" t="s">
        <v>581</v>
      </c>
      <c r="D325" s="521">
        <v>136</v>
      </c>
      <c r="E325" s="266" t="s">
        <v>562</v>
      </c>
      <c r="F325" s="522">
        <v>8.9499999999999993</v>
      </c>
      <c r="G325" s="523">
        <v>960.33333333300004</v>
      </c>
    </row>
    <row r="326" spans="1:7" x14ac:dyDescent="0.2">
      <c r="B326" s="521">
        <v>136042</v>
      </c>
      <c r="C326" s="266" t="s">
        <v>582</v>
      </c>
      <c r="D326" s="521">
        <v>136</v>
      </c>
      <c r="E326" s="266" t="s">
        <v>562</v>
      </c>
      <c r="F326" s="522">
        <v>9.35</v>
      </c>
      <c r="G326" s="523">
        <v>973.490566038</v>
      </c>
    </row>
    <row r="327" spans="1:7" x14ac:dyDescent="0.2">
      <c r="B327" s="521">
        <v>136043</v>
      </c>
      <c r="C327" s="266" t="s">
        <v>583</v>
      </c>
      <c r="D327" s="521">
        <v>136</v>
      </c>
      <c r="E327" s="266" t="s">
        <v>562</v>
      </c>
      <c r="F327" s="522">
        <v>8.8333333333299997</v>
      </c>
      <c r="G327" s="523">
        <v>957.047619048</v>
      </c>
    </row>
    <row r="328" spans="1:7" x14ac:dyDescent="0.2">
      <c r="B328" s="521">
        <v>136044</v>
      </c>
      <c r="C328" s="266" t="s">
        <v>584</v>
      </c>
      <c r="D328" s="521">
        <v>136</v>
      </c>
      <c r="E328" s="266" t="s">
        <v>562</v>
      </c>
      <c r="F328" s="522">
        <v>9.0500000000000007</v>
      </c>
      <c r="G328" s="523">
        <v>994.33333333300004</v>
      </c>
    </row>
    <row r="329" spans="1:7" x14ac:dyDescent="0.2">
      <c r="B329" s="521">
        <v>136045</v>
      </c>
      <c r="C329" s="266" t="s">
        <v>585</v>
      </c>
      <c r="D329" s="521">
        <v>136</v>
      </c>
      <c r="E329" s="266" t="s">
        <v>562</v>
      </c>
      <c r="F329" s="522">
        <v>8.1</v>
      </c>
      <c r="G329" s="523">
        <v>897.4375</v>
      </c>
    </row>
    <row r="330" spans="1:7" x14ac:dyDescent="0.2">
      <c r="A330" s="453"/>
      <c r="B330" s="521">
        <v>136046</v>
      </c>
      <c r="C330" s="266" t="s">
        <v>586</v>
      </c>
      <c r="D330" s="521">
        <v>136</v>
      </c>
      <c r="E330" s="266" t="s">
        <v>562</v>
      </c>
      <c r="F330" s="522">
        <v>8.4888888888899992</v>
      </c>
      <c r="G330" s="523">
        <v>925.72131147499999</v>
      </c>
    </row>
    <row r="331" spans="1:7" x14ac:dyDescent="0.2">
      <c r="B331" s="521">
        <v>136049</v>
      </c>
      <c r="C331" s="266" t="s">
        <v>587</v>
      </c>
      <c r="D331" s="521">
        <v>136</v>
      </c>
      <c r="E331" s="266" t="s">
        <v>562</v>
      </c>
      <c r="F331" s="522">
        <v>9.0333333333300008</v>
      </c>
      <c r="G331" s="523">
        <v>929.75</v>
      </c>
    </row>
    <row r="332" spans="1:7" x14ac:dyDescent="0.2">
      <c r="B332" s="521">
        <v>136050</v>
      </c>
      <c r="C332" s="266" t="s">
        <v>588</v>
      </c>
      <c r="D332" s="521">
        <v>136</v>
      </c>
      <c r="E332" s="266" t="s">
        <v>562</v>
      </c>
      <c r="F332" s="522">
        <v>7.8</v>
      </c>
      <c r="G332" s="523">
        <v>1070.2051282100001</v>
      </c>
    </row>
    <row r="333" spans="1:7" x14ac:dyDescent="0.2">
      <c r="B333" s="521">
        <v>136060</v>
      </c>
      <c r="C333" s="266" t="s">
        <v>589</v>
      </c>
      <c r="D333" s="521">
        <v>136</v>
      </c>
      <c r="E333" s="266" t="s">
        <v>562</v>
      </c>
      <c r="F333" s="522">
        <v>8.4250000000000007</v>
      </c>
      <c r="G333" s="523">
        <v>919.51851851900005</v>
      </c>
    </row>
    <row r="334" spans="1:7" x14ac:dyDescent="0.2">
      <c r="B334" s="521">
        <v>136061</v>
      </c>
      <c r="C334" s="266" t="s">
        <v>590</v>
      </c>
      <c r="D334" s="521">
        <v>136</v>
      </c>
      <c r="E334" s="266" t="s">
        <v>562</v>
      </c>
      <c r="F334" s="522">
        <v>8.65</v>
      </c>
      <c r="G334" s="523">
        <v>988.16666666699996</v>
      </c>
    </row>
    <row r="335" spans="1:7" x14ac:dyDescent="0.2">
      <c r="B335" s="521">
        <v>136062</v>
      </c>
      <c r="C335" s="266" t="s">
        <v>591</v>
      </c>
      <c r="D335" s="521">
        <v>136</v>
      </c>
      <c r="E335" s="266" t="s">
        <v>562</v>
      </c>
      <c r="F335" s="522">
        <v>8.85</v>
      </c>
      <c r="G335" s="523">
        <v>966</v>
      </c>
    </row>
    <row r="336" spans="1:7" x14ac:dyDescent="0.2">
      <c r="B336" s="521">
        <v>136065</v>
      </c>
      <c r="C336" s="266" t="s">
        <v>592</v>
      </c>
      <c r="D336" s="521">
        <v>136</v>
      </c>
      <c r="E336" s="266" t="s">
        <v>562</v>
      </c>
      <c r="F336" s="522">
        <v>8.5679999999999996</v>
      </c>
      <c r="G336" s="523">
        <v>1033.3592814399999</v>
      </c>
    </row>
    <row r="337" spans="2:7" x14ac:dyDescent="0.2">
      <c r="B337" s="521">
        <v>136066</v>
      </c>
      <c r="C337" s="266" t="s">
        <v>593</v>
      </c>
      <c r="D337" s="521">
        <v>136</v>
      </c>
      <c r="E337" s="266" t="s">
        <v>562</v>
      </c>
      <c r="F337" s="522">
        <v>8.65</v>
      </c>
      <c r="G337" s="523">
        <v>995.75</v>
      </c>
    </row>
    <row r="338" spans="2:7" x14ac:dyDescent="0.2">
      <c r="B338" s="521">
        <v>136068</v>
      </c>
      <c r="C338" s="266" t="s">
        <v>594</v>
      </c>
      <c r="D338" s="521">
        <v>136</v>
      </c>
      <c r="E338" s="266" t="s">
        <v>562</v>
      </c>
      <c r="F338" s="522">
        <v>8.35</v>
      </c>
      <c r="G338" s="523">
        <v>854.12195122000003</v>
      </c>
    </row>
    <row r="339" spans="2:7" x14ac:dyDescent="0.2">
      <c r="B339" s="521">
        <v>136070</v>
      </c>
      <c r="C339" s="266" t="s">
        <v>595</v>
      </c>
      <c r="D339" s="521">
        <v>136</v>
      </c>
      <c r="E339" s="266" t="s">
        <v>562</v>
      </c>
      <c r="F339" s="522">
        <v>8.9</v>
      </c>
      <c r="G339" s="523">
        <v>985</v>
      </c>
    </row>
    <row r="340" spans="2:7" x14ac:dyDescent="0.2">
      <c r="B340" s="521">
        <v>136071</v>
      </c>
      <c r="C340" s="266" t="s">
        <v>596</v>
      </c>
      <c r="D340" s="521">
        <v>136</v>
      </c>
      <c r="E340" s="266" t="s">
        <v>562</v>
      </c>
      <c r="F340" s="522">
        <v>8.35</v>
      </c>
      <c r="G340" s="523">
        <v>872.92857142900004</v>
      </c>
    </row>
    <row r="341" spans="2:7" x14ac:dyDescent="0.2">
      <c r="B341" s="521">
        <v>136075</v>
      </c>
      <c r="C341" s="266" t="s">
        <v>597</v>
      </c>
      <c r="D341" s="521">
        <v>136</v>
      </c>
      <c r="E341" s="266" t="s">
        <v>562</v>
      </c>
      <c r="F341" s="522">
        <v>8.3375000000000004</v>
      </c>
      <c r="G341" s="523">
        <v>839.66216216199996</v>
      </c>
    </row>
    <row r="342" spans="2:7" x14ac:dyDescent="0.2">
      <c r="B342" s="521">
        <v>136079</v>
      </c>
      <c r="C342" s="266" t="s">
        <v>598</v>
      </c>
      <c r="D342" s="521">
        <v>136</v>
      </c>
      <c r="E342" s="266" t="s">
        <v>562</v>
      </c>
      <c r="F342" s="522">
        <v>8.6421052631599995</v>
      </c>
      <c r="G342" s="523">
        <v>1088.5581395300001</v>
      </c>
    </row>
    <row r="343" spans="2:7" x14ac:dyDescent="0.2">
      <c r="B343" s="521">
        <v>136082</v>
      </c>
      <c r="C343" s="266" t="s">
        <v>599</v>
      </c>
      <c r="D343" s="521">
        <v>136</v>
      </c>
      <c r="E343" s="266" t="s">
        <v>562</v>
      </c>
      <c r="F343" s="522">
        <v>8</v>
      </c>
      <c r="G343" s="523">
        <v>928.97560975600004</v>
      </c>
    </row>
    <row r="344" spans="2:7" x14ac:dyDescent="0.2">
      <c r="B344" s="521">
        <v>136084</v>
      </c>
      <c r="C344" s="266" t="s">
        <v>600</v>
      </c>
      <c r="D344" s="521">
        <v>136</v>
      </c>
      <c r="E344" s="266" t="s">
        <v>562</v>
      </c>
      <c r="F344" s="522">
        <v>8.4</v>
      </c>
      <c r="G344" s="523">
        <v>828.30769230800001</v>
      </c>
    </row>
    <row r="345" spans="2:7" x14ac:dyDescent="0.2">
      <c r="B345" s="521">
        <v>136087</v>
      </c>
      <c r="C345" s="266" t="s">
        <v>601</v>
      </c>
      <c r="D345" s="521">
        <v>136</v>
      </c>
      <c r="E345" s="266" t="s">
        <v>562</v>
      </c>
      <c r="F345" s="522">
        <v>8.2777777777800008</v>
      </c>
      <c r="G345" s="523">
        <v>788.5</v>
      </c>
    </row>
    <row r="346" spans="2:7" x14ac:dyDescent="0.2">
      <c r="B346" s="521">
        <v>136088</v>
      </c>
      <c r="C346" s="266" t="s">
        <v>602</v>
      </c>
      <c r="D346" s="521">
        <v>136</v>
      </c>
      <c r="E346" s="266" t="s">
        <v>562</v>
      </c>
      <c r="F346" s="522">
        <v>8.15</v>
      </c>
      <c r="G346" s="523">
        <v>1012.41921397</v>
      </c>
    </row>
    <row r="347" spans="2:7" x14ac:dyDescent="0.2">
      <c r="B347" s="524">
        <v>136089</v>
      </c>
      <c r="C347" s="525" t="s">
        <v>603</v>
      </c>
      <c r="D347" s="524">
        <v>136</v>
      </c>
      <c r="E347" s="525" t="s">
        <v>562</v>
      </c>
      <c r="F347" s="526">
        <v>8.4</v>
      </c>
      <c r="G347" s="527">
        <v>879.5</v>
      </c>
    </row>
    <row r="348" spans="2:7" x14ac:dyDescent="0.2">
      <c r="B348" s="528">
        <v>211000</v>
      </c>
      <c r="C348" s="529" t="s">
        <v>604</v>
      </c>
      <c r="D348" s="528">
        <v>211</v>
      </c>
      <c r="E348" s="529" t="s">
        <v>605</v>
      </c>
      <c r="F348" s="530">
        <v>8.7133333333300005</v>
      </c>
      <c r="G348" s="531">
        <v>1325.73106061</v>
      </c>
    </row>
    <row r="349" spans="2:7" x14ac:dyDescent="0.2">
      <c r="B349" s="528">
        <v>212000</v>
      </c>
      <c r="C349" s="529" t="s">
        <v>606</v>
      </c>
      <c r="D349" s="528">
        <v>212</v>
      </c>
      <c r="E349" s="529" t="s">
        <v>607</v>
      </c>
      <c r="F349" s="530">
        <v>10.4</v>
      </c>
      <c r="G349" s="531">
        <v>835.73417721500005</v>
      </c>
    </row>
    <row r="350" spans="2:7" x14ac:dyDescent="0.2">
      <c r="B350" s="521">
        <v>215007</v>
      </c>
      <c r="C350" s="266" t="s">
        <v>608</v>
      </c>
      <c r="D350" s="521">
        <v>215</v>
      </c>
      <c r="E350" s="266" t="s">
        <v>609</v>
      </c>
      <c r="F350" s="522">
        <v>10</v>
      </c>
      <c r="G350" s="523">
        <v>832.16455696200001</v>
      </c>
    </row>
    <row r="351" spans="2:7" x14ac:dyDescent="0.2">
      <c r="B351" s="521">
        <v>215009</v>
      </c>
      <c r="C351" s="266" t="s">
        <v>610</v>
      </c>
      <c r="D351" s="521">
        <v>215</v>
      </c>
      <c r="E351" s="266" t="s">
        <v>609</v>
      </c>
      <c r="F351" s="522">
        <v>10.4</v>
      </c>
      <c r="G351" s="523">
        <v>801.52222222199998</v>
      </c>
    </row>
    <row r="352" spans="2:7" x14ac:dyDescent="0.2">
      <c r="B352" s="521">
        <v>215017</v>
      </c>
      <c r="C352" s="266" t="s">
        <v>611</v>
      </c>
      <c r="D352" s="521">
        <v>215</v>
      </c>
      <c r="E352" s="266" t="s">
        <v>609</v>
      </c>
      <c r="F352" s="522">
        <v>9.9947368421099991</v>
      </c>
      <c r="G352" s="523">
        <v>996.962962963</v>
      </c>
    </row>
    <row r="353" spans="1:7" x14ac:dyDescent="0.2">
      <c r="B353" s="521">
        <v>215021</v>
      </c>
      <c r="C353" s="266" t="s">
        <v>612</v>
      </c>
      <c r="D353" s="521">
        <v>215</v>
      </c>
      <c r="E353" s="266" t="s">
        <v>609</v>
      </c>
      <c r="F353" s="522">
        <v>10.666666666699999</v>
      </c>
      <c r="G353" s="523">
        <v>755.66666666699996</v>
      </c>
    </row>
    <row r="354" spans="1:7" x14ac:dyDescent="0.2">
      <c r="B354" s="521">
        <v>215025</v>
      </c>
      <c r="C354" s="266" t="s">
        <v>613</v>
      </c>
      <c r="D354" s="521">
        <v>215</v>
      </c>
      <c r="E354" s="266" t="s">
        <v>609</v>
      </c>
      <c r="F354" s="522">
        <v>10.1</v>
      </c>
      <c r="G354" s="523">
        <v>817.037037037</v>
      </c>
    </row>
    <row r="355" spans="1:7" x14ac:dyDescent="0.2">
      <c r="B355" s="521">
        <v>215029</v>
      </c>
      <c r="C355" s="266" t="s">
        <v>614</v>
      </c>
      <c r="D355" s="521">
        <v>215</v>
      </c>
      <c r="E355" s="266" t="s">
        <v>609</v>
      </c>
      <c r="F355" s="522">
        <v>10.85</v>
      </c>
      <c r="G355" s="523">
        <v>745.47368421099998</v>
      </c>
    </row>
    <row r="356" spans="1:7" x14ac:dyDescent="0.2">
      <c r="B356" s="521">
        <v>215039</v>
      </c>
      <c r="C356" s="266" t="s">
        <v>615</v>
      </c>
      <c r="D356" s="521">
        <v>215</v>
      </c>
      <c r="E356" s="266" t="s">
        <v>609</v>
      </c>
      <c r="F356" s="522">
        <v>10.85</v>
      </c>
      <c r="G356" s="523">
        <v>732.63636363600006</v>
      </c>
    </row>
    <row r="357" spans="1:7" x14ac:dyDescent="0.2">
      <c r="B357" s="521">
        <v>215040</v>
      </c>
      <c r="C357" s="266" t="s">
        <v>616</v>
      </c>
      <c r="D357" s="521">
        <v>215</v>
      </c>
      <c r="E357" s="266" t="s">
        <v>609</v>
      </c>
      <c r="F357" s="522">
        <v>9.85</v>
      </c>
      <c r="G357" s="523">
        <v>791.9375</v>
      </c>
    </row>
    <row r="358" spans="1:7" x14ac:dyDescent="0.2">
      <c r="B358" s="521">
        <v>215046</v>
      </c>
      <c r="C358" s="266" t="s">
        <v>617</v>
      </c>
      <c r="D358" s="521">
        <v>215</v>
      </c>
      <c r="E358" s="266" t="s">
        <v>609</v>
      </c>
      <c r="F358" s="522">
        <v>9.6434782608699994</v>
      </c>
      <c r="G358" s="523">
        <v>1100.9647058800001</v>
      </c>
    </row>
    <row r="359" spans="1:7" x14ac:dyDescent="0.2">
      <c r="B359" s="521">
        <v>215047</v>
      </c>
      <c r="C359" s="266" t="s">
        <v>618</v>
      </c>
      <c r="D359" s="521">
        <v>215</v>
      </c>
      <c r="E359" s="266" t="s">
        <v>609</v>
      </c>
      <c r="F359" s="522">
        <v>9.1047619047600001</v>
      </c>
      <c r="G359" s="523">
        <v>1270.0169491500001</v>
      </c>
    </row>
    <row r="360" spans="1:7" x14ac:dyDescent="0.2">
      <c r="A360" s="453"/>
      <c r="B360" s="521">
        <v>215059</v>
      </c>
      <c r="C360" s="266" t="s">
        <v>619</v>
      </c>
      <c r="D360" s="521">
        <v>215</v>
      </c>
      <c r="E360" s="266" t="s">
        <v>609</v>
      </c>
      <c r="F360" s="522">
        <v>9.9</v>
      </c>
      <c r="G360" s="523">
        <v>803.30232558099999</v>
      </c>
    </row>
    <row r="361" spans="1:7" x14ac:dyDescent="0.2">
      <c r="B361" s="521">
        <v>215064</v>
      </c>
      <c r="C361" s="266" t="s">
        <v>620</v>
      </c>
      <c r="D361" s="521">
        <v>215</v>
      </c>
      <c r="E361" s="266" t="s">
        <v>609</v>
      </c>
      <c r="F361" s="522">
        <v>10.25</v>
      </c>
      <c r="G361" s="523">
        <v>823.7</v>
      </c>
    </row>
    <row r="362" spans="1:7" x14ac:dyDescent="0.2">
      <c r="B362" s="521">
        <v>215066</v>
      </c>
      <c r="C362" s="266" t="s">
        <v>621</v>
      </c>
      <c r="D362" s="521">
        <v>215</v>
      </c>
      <c r="E362" s="266" t="s">
        <v>609</v>
      </c>
      <c r="F362" s="522">
        <v>10.95</v>
      </c>
      <c r="G362" s="523">
        <v>742.77419354799997</v>
      </c>
    </row>
    <row r="363" spans="1:7" x14ac:dyDescent="0.2">
      <c r="B363" s="521">
        <v>215082</v>
      </c>
      <c r="C363" s="266" t="s">
        <v>622</v>
      </c>
      <c r="D363" s="521">
        <v>215</v>
      </c>
      <c r="E363" s="266" t="s">
        <v>609</v>
      </c>
      <c r="F363" s="522">
        <v>9.94</v>
      </c>
      <c r="G363" s="523">
        <v>809.59090909099996</v>
      </c>
    </row>
    <row r="364" spans="1:7" x14ac:dyDescent="0.2">
      <c r="B364" s="521">
        <v>215084</v>
      </c>
      <c r="C364" s="266" t="s">
        <v>623</v>
      </c>
      <c r="D364" s="521">
        <v>215</v>
      </c>
      <c r="E364" s="266" t="s">
        <v>609</v>
      </c>
      <c r="F364" s="522">
        <v>10.45</v>
      </c>
      <c r="G364" s="523">
        <v>788.98076923099995</v>
      </c>
    </row>
    <row r="365" spans="1:7" x14ac:dyDescent="0.2">
      <c r="B365" s="521">
        <v>215089</v>
      </c>
      <c r="C365" s="266" t="s">
        <v>624</v>
      </c>
      <c r="D365" s="521">
        <v>215</v>
      </c>
      <c r="E365" s="266" t="s">
        <v>609</v>
      </c>
      <c r="F365" s="522">
        <v>10.15</v>
      </c>
      <c r="G365" s="523">
        <v>844.88888888899999</v>
      </c>
    </row>
    <row r="366" spans="1:7" x14ac:dyDescent="0.2">
      <c r="B366" s="521">
        <v>215090</v>
      </c>
      <c r="C366" s="266" t="s">
        <v>625</v>
      </c>
      <c r="D366" s="521">
        <v>215</v>
      </c>
      <c r="E366" s="266" t="s">
        <v>609</v>
      </c>
      <c r="F366" s="522">
        <v>10.35</v>
      </c>
      <c r="G366" s="523">
        <v>816.26829268300003</v>
      </c>
    </row>
    <row r="367" spans="1:7" x14ac:dyDescent="0.2">
      <c r="B367" s="521">
        <v>215094</v>
      </c>
      <c r="C367" s="266" t="s">
        <v>626</v>
      </c>
      <c r="D367" s="521">
        <v>215</v>
      </c>
      <c r="E367" s="266" t="s">
        <v>609</v>
      </c>
      <c r="F367" s="522">
        <v>10.1</v>
      </c>
      <c r="G367" s="523">
        <v>799.31578947399998</v>
      </c>
    </row>
    <row r="368" spans="1:7" x14ac:dyDescent="0.2">
      <c r="B368" s="521">
        <v>215096</v>
      </c>
      <c r="C368" s="266" t="s">
        <v>627</v>
      </c>
      <c r="D368" s="521">
        <v>215</v>
      </c>
      <c r="E368" s="266" t="s">
        <v>609</v>
      </c>
      <c r="F368" s="522">
        <v>9.9416666666700007</v>
      </c>
      <c r="G368" s="523">
        <v>1034.2750000000001</v>
      </c>
    </row>
    <row r="369" spans="2:7" x14ac:dyDescent="0.2">
      <c r="B369" s="521">
        <v>215097</v>
      </c>
      <c r="C369" s="266" t="s">
        <v>628</v>
      </c>
      <c r="D369" s="521">
        <v>215</v>
      </c>
      <c r="E369" s="266" t="s">
        <v>609</v>
      </c>
      <c r="F369" s="522">
        <v>10.188888888899999</v>
      </c>
      <c r="G369" s="523">
        <v>811.31428571399999</v>
      </c>
    </row>
    <row r="370" spans="2:7" x14ac:dyDescent="0.2">
      <c r="B370" s="521">
        <v>215099</v>
      </c>
      <c r="C370" s="266" t="s">
        <v>629</v>
      </c>
      <c r="D370" s="521">
        <v>215</v>
      </c>
      <c r="E370" s="266" t="s">
        <v>609</v>
      </c>
      <c r="F370" s="522">
        <v>10.85</v>
      </c>
      <c r="G370" s="523">
        <v>762.28571428600003</v>
      </c>
    </row>
    <row r="371" spans="2:7" x14ac:dyDescent="0.2">
      <c r="B371" s="521">
        <v>215100</v>
      </c>
      <c r="C371" s="266" t="s">
        <v>630</v>
      </c>
      <c r="D371" s="521">
        <v>215</v>
      </c>
      <c r="E371" s="266" t="s">
        <v>609</v>
      </c>
      <c r="F371" s="522">
        <v>10.6333333333</v>
      </c>
      <c r="G371" s="523">
        <v>751.74074074099997</v>
      </c>
    </row>
    <row r="372" spans="2:7" x14ac:dyDescent="0.2">
      <c r="B372" s="521">
        <v>215101</v>
      </c>
      <c r="C372" s="266" t="s">
        <v>631</v>
      </c>
      <c r="D372" s="521">
        <v>215</v>
      </c>
      <c r="E372" s="266" t="s">
        <v>609</v>
      </c>
      <c r="F372" s="522">
        <v>10.311111111100001</v>
      </c>
      <c r="G372" s="523">
        <v>847.19230769199999</v>
      </c>
    </row>
    <row r="373" spans="2:7" x14ac:dyDescent="0.2">
      <c r="B373" s="521">
        <v>215102</v>
      </c>
      <c r="C373" s="266" t="s">
        <v>632</v>
      </c>
      <c r="D373" s="521">
        <v>215</v>
      </c>
      <c r="E373" s="266" t="s">
        <v>609</v>
      </c>
      <c r="F373" s="522">
        <v>10.9</v>
      </c>
      <c r="G373" s="523">
        <v>733.11111111100001</v>
      </c>
    </row>
    <row r="374" spans="2:7" x14ac:dyDescent="0.2">
      <c r="B374" s="521">
        <v>215103</v>
      </c>
      <c r="C374" s="266" t="s">
        <v>633</v>
      </c>
      <c r="D374" s="521">
        <v>215</v>
      </c>
      <c r="E374" s="266" t="s">
        <v>609</v>
      </c>
      <c r="F374" s="522">
        <v>10.8</v>
      </c>
      <c r="G374" s="523">
        <v>756.4</v>
      </c>
    </row>
    <row r="375" spans="2:7" x14ac:dyDescent="0.2">
      <c r="B375" s="521">
        <v>215105</v>
      </c>
      <c r="C375" s="266" t="s">
        <v>634</v>
      </c>
      <c r="D375" s="521">
        <v>215</v>
      </c>
      <c r="E375" s="266" t="s">
        <v>609</v>
      </c>
      <c r="F375" s="522">
        <v>10.85</v>
      </c>
      <c r="G375" s="523">
        <v>739.20689655199999</v>
      </c>
    </row>
    <row r="376" spans="2:7" x14ac:dyDescent="0.2">
      <c r="B376" s="521">
        <v>215106</v>
      </c>
      <c r="C376" s="266" t="s">
        <v>635</v>
      </c>
      <c r="D376" s="521">
        <v>215</v>
      </c>
      <c r="E376" s="266" t="s">
        <v>609</v>
      </c>
      <c r="F376" s="522">
        <v>10.9</v>
      </c>
      <c r="G376" s="523">
        <v>733.30555555599994</v>
      </c>
    </row>
    <row r="377" spans="2:7" x14ac:dyDescent="0.2">
      <c r="B377" s="521">
        <v>215107</v>
      </c>
      <c r="C377" s="266" t="s">
        <v>636</v>
      </c>
      <c r="D377" s="521">
        <v>215</v>
      </c>
      <c r="E377" s="266" t="s">
        <v>609</v>
      </c>
      <c r="F377" s="522">
        <v>10.95</v>
      </c>
      <c r="G377" s="523">
        <v>724.33333333300004</v>
      </c>
    </row>
    <row r="378" spans="2:7" x14ac:dyDescent="0.2">
      <c r="B378" s="521">
        <v>215108</v>
      </c>
      <c r="C378" s="266" t="s">
        <v>637</v>
      </c>
      <c r="D378" s="521">
        <v>215</v>
      </c>
      <c r="E378" s="266" t="s">
        <v>609</v>
      </c>
      <c r="F378" s="522">
        <v>10.85</v>
      </c>
      <c r="G378" s="523">
        <v>859.41025640999999</v>
      </c>
    </row>
    <row r="379" spans="2:7" x14ac:dyDescent="0.2">
      <c r="B379" s="521">
        <v>215109</v>
      </c>
      <c r="C379" s="266" t="s">
        <v>638</v>
      </c>
      <c r="D379" s="521">
        <v>215</v>
      </c>
      <c r="E379" s="266" t="s">
        <v>609</v>
      </c>
      <c r="F379" s="522">
        <v>10.85</v>
      </c>
      <c r="G379" s="523">
        <v>759.29032258100005</v>
      </c>
    </row>
    <row r="380" spans="2:7" x14ac:dyDescent="0.2">
      <c r="B380" s="521">
        <v>215110</v>
      </c>
      <c r="C380" s="266" t="s">
        <v>639</v>
      </c>
      <c r="D380" s="521">
        <v>215</v>
      </c>
      <c r="E380" s="266" t="s">
        <v>609</v>
      </c>
      <c r="F380" s="522">
        <v>10.1166666667</v>
      </c>
      <c r="G380" s="523">
        <v>992.25</v>
      </c>
    </row>
    <row r="381" spans="2:7" x14ac:dyDescent="0.2">
      <c r="B381" s="524">
        <v>215111</v>
      </c>
      <c r="C381" s="525" t="s">
        <v>640</v>
      </c>
      <c r="D381" s="524">
        <v>215</v>
      </c>
      <c r="E381" s="525" t="s">
        <v>609</v>
      </c>
      <c r="F381" s="526">
        <v>10.85</v>
      </c>
      <c r="G381" s="527">
        <v>749.33333333300004</v>
      </c>
    </row>
    <row r="382" spans="2:7" x14ac:dyDescent="0.2">
      <c r="B382" s="521">
        <v>216002</v>
      </c>
      <c r="C382" s="266" t="s">
        <v>641</v>
      </c>
      <c r="D382" s="521">
        <v>216</v>
      </c>
      <c r="E382" s="266" t="s">
        <v>642</v>
      </c>
      <c r="F382" s="522">
        <v>10.85</v>
      </c>
      <c r="G382" s="523">
        <v>839.52631578900002</v>
      </c>
    </row>
    <row r="383" spans="2:7" x14ac:dyDescent="0.2">
      <c r="B383" s="521">
        <v>216005</v>
      </c>
      <c r="C383" s="266" t="s">
        <v>643</v>
      </c>
      <c r="D383" s="521">
        <v>216</v>
      </c>
      <c r="E383" s="266" t="s">
        <v>642</v>
      </c>
      <c r="F383" s="522">
        <v>10.85</v>
      </c>
      <c r="G383" s="523">
        <v>908.047619048</v>
      </c>
    </row>
    <row r="384" spans="2:7" x14ac:dyDescent="0.2">
      <c r="B384" s="521">
        <v>216006</v>
      </c>
      <c r="C384" s="266" t="s">
        <v>644</v>
      </c>
      <c r="D384" s="521">
        <v>216</v>
      </c>
      <c r="E384" s="266" t="s">
        <v>642</v>
      </c>
      <c r="F384" s="522">
        <v>10.65</v>
      </c>
      <c r="G384" s="523">
        <v>1008.55555556</v>
      </c>
    </row>
    <row r="385" spans="1:7" x14ac:dyDescent="0.2">
      <c r="B385" s="521">
        <v>216007</v>
      </c>
      <c r="C385" s="266" t="s">
        <v>645</v>
      </c>
      <c r="D385" s="521">
        <v>216</v>
      </c>
      <c r="E385" s="266" t="s">
        <v>642</v>
      </c>
      <c r="F385" s="522">
        <v>8.7976744185999998</v>
      </c>
      <c r="G385" s="523">
        <v>1376.47572816</v>
      </c>
    </row>
    <row r="386" spans="1:7" x14ac:dyDescent="0.2">
      <c r="B386" s="521">
        <v>216008</v>
      </c>
      <c r="C386" s="266" t="s">
        <v>646</v>
      </c>
      <c r="D386" s="521">
        <v>216</v>
      </c>
      <c r="E386" s="266" t="s">
        <v>642</v>
      </c>
      <c r="F386" s="522">
        <v>8.7783783783799993</v>
      </c>
      <c r="G386" s="523">
        <v>1463.90909091</v>
      </c>
    </row>
    <row r="387" spans="1:7" x14ac:dyDescent="0.2">
      <c r="B387" s="521">
        <v>216009</v>
      </c>
      <c r="C387" s="266" t="s">
        <v>647</v>
      </c>
      <c r="D387" s="521">
        <v>216</v>
      </c>
      <c r="E387" s="266" t="s">
        <v>642</v>
      </c>
      <c r="F387" s="522">
        <v>10.85</v>
      </c>
      <c r="G387" s="523">
        <v>888.07142857099996</v>
      </c>
    </row>
    <row r="388" spans="1:7" x14ac:dyDescent="0.2">
      <c r="B388" s="521">
        <v>216012</v>
      </c>
      <c r="C388" s="266" t="s">
        <v>648</v>
      </c>
      <c r="D388" s="521">
        <v>216</v>
      </c>
      <c r="E388" s="266" t="s">
        <v>642</v>
      </c>
      <c r="F388" s="522">
        <v>10.9</v>
      </c>
      <c r="G388" s="523">
        <v>869.5</v>
      </c>
    </row>
    <row r="389" spans="1:7" x14ac:dyDescent="0.2">
      <c r="B389" s="521">
        <v>216013</v>
      </c>
      <c r="C389" s="266" t="s">
        <v>649</v>
      </c>
      <c r="D389" s="521">
        <v>216</v>
      </c>
      <c r="E389" s="266" t="s">
        <v>642</v>
      </c>
      <c r="F389" s="522">
        <v>7.9139534883699998</v>
      </c>
      <c r="G389" s="523">
        <v>1767.28502415</v>
      </c>
    </row>
    <row r="390" spans="1:7" x14ac:dyDescent="0.2">
      <c r="A390" s="453"/>
      <c r="B390" s="521">
        <v>216015</v>
      </c>
      <c r="C390" s="266" t="s">
        <v>650</v>
      </c>
      <c r="D390" s="521">
        <v>216</v>
      </c>
      <c r="E390" s="266" t="s">
        <v>642</v>
      </c>
      <c r="F390" s="522">
        <v>9.2466666666700004</v>
      </c>
      <c r="G390" s="523">
        <v>1227.6893203899999</v>
      </c>
    </row>
    <row r="391" spans="1:7" x14ac:dyDescent="0.2">
      <c r="B391" s="521">
        <v>216017</v>
      </c>
      <c r="C391" s="266" t="s">
        <v>651</v>
      </c>
      <c r="D391" s="521">
        <v>216</v>
      </c>
      <c r="E391" s="266" t="s">
        <v>642</v>
      </c>
      <c r="F391" s="522">
        <v>8.2217391304300005</v>
      </c>
      <c r="G391" s="523">
        <v>1561.5617977500001</v>
      </c>
    </row>
    <row r="392" spans="1:7" x14ac:dyDescent="0.2">
      <c r="B392" s="521">
        <v>216022</v>
      </c>
      <c r="C392" s="266" t="s">
        <v>652</v>
      </c>
      <c r="D392" s="521">
        <v>216</v>
      </c>
      <c r="E392" s="266" t="s">
        <v>642</v>
      </c>
      <c r="F392" s="522">
        <v>10.85</v>
      </c>
      <c r="G392" s="523">
        <v>1040.28125</v>
      </c>
    </row>
    <row r="393" spans="1:7" x14ac:dyDescent="0.2">
      <c r="B393" s="521">
        <v>216023</v>
      </c>
      <c r="C393" s="266" t="s">
        <v>653</v>
      </c>
      <c r="D393" s="521">
        <v>216</v>
      </c>
      <c r="E393" s="266" t="s">
        <v>642</v>
      </c>
      <c r="F393" s="522">
        <v>10.85</v>
      </c>
      <c r="G393" s="523">
        <v>1006.09756098</v>
      </c>
    </row>
    <row r="394" spans="1:7" x14ac:dyDescent="0.2">
      <c r="B394" s="521">
        <v>216024</v>
      </c>
      <c r="C394" s="266" t="s">
        <v>654</v>
      </c>
      <c r="D394" s="521">
        <v>216</v>
      </c>
      <c r="E394" s="266" t="s">
        <v>642</v>
      </c>
      <c r="F394" s="522">
        <v>10.3</v>
      </c>
      <c r="G394" s="523">
        <v>1079.3421052599999</v>
      </c>
    </row>
    <row r="395" spans="1:7" x14ac:dyDescent="0.2">
      <c r="B395" s="521">
        <v>216028</v>
      </c>
      <c r="C395" s="266" t="s">
        <v>655</v>
      </c>
      <c r="D395" s="521">
        <v>216</v>
      </c>
      <c r="E395" s="266" t="s">
        <v>642</v>
      </c>
      <c r="F395" s="522">
        <v>10.7</v>
      </c>
      <c r="G395" s="523">
        <v>975.625</v>
      </c>
    </row>
    <row r="396" spans="1:7" x14ac:dyDescent="0.2">
      <c r="B396" s="521">
        <v>216029</v>
      </c>
      <c r="C396" s="266" t="s">
        <v>656</v>
      </c>
      <c r="D396" s="521">
        <v>216</v>
      </c>
      <c r="E396" s="266" t="s">
        <v>642</v>
      </c>
      <c r="F396" s="522">
        <v>8.0578947368399998</v>
      </c>
      <c r="G396" s="523">
        <v>1530.37037037</v>
      </c>
    </row>
    <row r="397" spans="1:7" x14ac:dyDescent="0.2">
      <c r="B397" s="521">
        <v>216033</v>
      </c>
      <c r="C397" s="266" t="s">
        <v>657</v>
      </c>
      <c r="D397" s="521">
        <v>216</v>
      </c>
      <c r="E397" s="266" t="s">
        <v>642</v>
      </c>
      <c r="F397" s="522">
        <v>10.666666666699999</v>
      </c>
      <c r="G397" s="523">
        <v>952.23529411799996</v>
      </c>
    </row>
    <row r="398" spans="1:7" x14ac:dyDescent="0.2">
      <c r="B398" s="521">
        <v>216039</v>
      </c>
      <c r="C398" s="266" t="s">
        <v>658</v>
      </c>
      <c r="D398" s="521">
        <v>216</v>
      </c>
      <c r="E398" s="266" t="s">
        <v>642</v>
      </c>
      <c r="F398" s="522">
        <v>10.85</v>
      </c>
      <c r="G398" s="523">
        <v>923.30769230800001</v>
      </c>
    </row>
    <row r="399" spans="1:7" x14ac:dyDescent="0.2">
      <c r="B399" s="521">
        <v>216041</v>
      </c>
      <c r="C399" s="266" t="s">
        <v>659</v>
      </c>
      <c r="D399" s="521">
        <v>216</v>
      </c>
      <c r="E399" s="266" t="s">
        <v>642</v>
      </c>
      <c r="F399" s="522">
        <v>8.7243902439000003</v>
      </c>
      <c r="G399" s="523">
        <v>1396.6867469900001</v>
      </c>
    </row>
    <row r="400" spans="1:7" x14ac:dyDescent="0.2">
      <c r="B400" s="521">
        <v>216043</v>
      </c>
      <c r="C400" s="266" t="s">
        <v>660</v>
      </c>
      <c r="D400" s="521">
        <v>216</v>
      </c>
      <c r="E400" s="266" t="s">
        <v>642</v>
      </c>
      <c r="F400" s="522">
        <v>10.66</v>
      </c>
      <c r="G400" s="523">
        <v>949.21249999999998</v>
      </c>
    </row>
    <row r="401" spans="2:7" x14ac:dyDescent="0.2">
      <c r="B401" s="521">
        <v>216049</v>
      </c>
      <c r="C401" s="266" t="s">
        <v>661</v>
      </c>
      <c r="D401" s="521">
        <v>216</v>
      </c>
      <c r="E401" s="266" t="s">
        <v>642</v>
      </c>
      <c r="F401" s="522">
        <v>9.9473684210499993</v>
      </c>
      <c r="G401" s="523">
        <v>1196.5714285700001</v>
      </c>
    </row>
    <row r="402" spans="2:7" x14ac:dyDescent="0.2">
      <c r="B402" s="521">
        <v>216052</v>
      </c>
      <c r="C402" s="266" t="s">
        <v>662</v>
      </c>
      <c r="D402" s="521">
        <v>216</v>
      </c>
      <c r="E402" s="266" t="s">
        <v>642</v>
      </c>
      <c r="F402" s="522">
        <v>10.9</v>
      </c>
      <c r="G402" s="523">
        <v>895.866666667</v>
      </c>
    </row>
    <row r="403" spans="2:7" x14ac:dyDescent="0.2">
      <c r="B403" s="521">
        <v>216059</v>
      </c>
      <c r="C403" s="266" t="s">
        <v>663</v>
      </c>
      <c r="D403" s="521">
        <v>216</v>
      </c>
      <c r="E403" s="266" t="s">
        <v>642</v>
      </c>
      <c r="F403" s="522">
        <v>8.7461538461499995</v>
      </c>
      <c r="G403" s="523">
        <v>1507.83333333</v>
      </c>
    </row>
    <row r="404" spans="2:7" x14ac:dyDescent="0.2">
      <c r="B404" s="524">
        <v>216063</v>
      </c>
      <c r="C404" s="525" t="s">
        <v>664</v>
      </c>
      <c r="D404" s="524">
        <v>216</v>
      </c>
      <c r="E404" s="525" t="s">
        <v>642</v>
      </c>
      <c r="F404" s="526">
        <v>10.7</v>
      </c>
      <c r="G404" s="527">
        <v>1018.3544303800001</v>
      </c>
    </row>
    <row r="405" spans="2:7" x14ac:dyDescent="0.2">
      <c r="B405" s="528">
        <v>221000</v>
      </c>
      <c r="C405" s="529" t="s">
        <v>665</v>
      </c>
      <c r="D405" s="528">
        <v>221</v>
      </c>
      <c r="E405" s="529" t="s">
        <v>666</v>
      </c>
      <c r="F405" s="530">
        <v>9.9499999999999993</v>
      </c>
      <c r="G405" s="531">
        <v>889.338709677</v>
      </c>
    </row>
    <row r="406" spans="2:7" x14ac:dyDescent="0.2">
      <c r="B406" s="528">
        <v>222000</v>
      </c>
      <c r="C406" s="529" t="s">
        <v>667</v>
      </c>
      <c r="D406" s="528">
        <v>222</v>
      </c>
      <c r="E406" s="529" t="s">
        <v>668</v>
      </c>
      <c r="F406" s="530">
        <v>10.95</v>
      </c>
      <c r="G406" s="531">
        <v>669.47619047600006</v>
      </c>
    </row>
    <row r="407" spans="2:7" x14ac:dyDescent="0.2">
      <c r="B407" s="521">
        <v>225001</v>
      </c>
      <c r="C407" s="266" t="s">
        <v>669</v>
      </c>
      <c r="D407" s="521">
        <v>225</v>
      </c>
      <c r="E407" s="266" t="s">
        <v>670</v>
      </c>
      <c r="F407" s="522">
        <v>9.4</v>
      </c>
      <c r="G407" s="523">
        <v>892.30612244899999</v>
      </c>
    </row>
    <row r="408" spans="2:7" x14ac:dyDescent="0.2">
      <c r="B408" s="521">
        <v>225002</v>
      </c>
      <c r="C408" s="266" t="s">
        <v>671</v>
      </c>
      <c r="D408" s="521">
        <v>225</v>
      </c>
      <c r="E408" s="266" t="s">
        <v>670</v>
      </c>
      <c r="F408" s="522">
        <v>9.5500000000000007</v>
      </c>
      <c r="G408" s="523">
        <v>1025.6078431400001</v>
      </c>
    </row>
    <row r="409" spans="2:7" x14ac:dyDescent="0.2">
      <c r="B409" s="521">
        <v>225009</v>
      </c>
      <c r="C409" s="266" t="s">
        <v>672</v>
      </c>
      <c r="D409" s="521">
        <v>225</v>
      </c>
      <c r="E409" s="266" t="s">
        <v>670</v>
      </c>
      <c r="F409" s="522">
        <v>9.66</v>
      </c>
      <c r="G409" s="523">
        <v>915.8</v>
      </c>
    </row>
    <row r="410" spans="2:7" x14ac:dyDescent="0.2">
      <c r="B410" s="521">
        <v>225010</v>
      </c>
      <c r="C410" s="266" t="s">
        <v>673</v>
      </c>
      <c r="D410" s="521">
        <v>225</v>
      </c>
      <c r="E410" s="266" t="s">
        <v>670</v>
      </c>
      <c r="F410" s="522">
        <v>9.9</v>
      </c>
      <c r="G410" s="523">
        <v>934.72727272700001</v>
      </c>
    </row>
    <row r="411" spans="2:7" x14ac:dyDescent="0.2">
      <c r="B411" s="521">
        <v>225014</v>
      </c>
      <c r="C411" s="266" t="s">
        <v>674</v>
      </c>
      <c r="D411" s="521">
        <v>225</v>
      </c>
      <c r="E411" s="266" t="s">
        <v>670</v>
      </c>
      <c r="F411" s="522">
        <v>8.8000000000000007</v>
      </c>
      <c r="G411" s="523">
        <v>884.32558139499997</v>
      </c>
    </row>
    <row r="412" spans="2:7" x14ac:dyDescent="0.2">
      <c r="B412" s="521">
        <v>225024</v>
      </c>
      <c r="C412" s="266" t="s">
        <v>675</v>
      </c>
      <c r="D412" s="521">
        <v>225</v>
      </c>
      <c r="E412" s="266" t="s">
        <v>670</v>
      </c>
      <c r="F412" s="522">
        <v>8.7166666666699992</v>
      </c>
      <c r="G412" s="523">
        <v>1012.89285714</v>
      </c>
    </row>
    <row r="413" spans="2:7" x14ac:dyDescent="0.2">
      <c r="B413" s="521">
        <v>225032</v>
      </c>
      <c r="C413" s="266" t="s">
        <v>676</v>
      </c>
      <c r="D413" s="521">
        <v>225</v>
      </c>
      <c r="E413" s="266" t="s">
        <v>670</v>
      </c>
      <c r="F413" s="522">
        <v>8.9090909090900006</v>
      </c>
      <c r="G413" s="523">
        <v>788.79279279299999</v>
      </c>
    </row>
    <row r="414" spans="2:7" x14ac:dyDescent="0.2">
      <c r="B414" s="521">
        <v>225033</v>
      </c>
      <c r="C414" s="266" t="s">
        <v>677</v>
      </c>
      <c r="D414" s="521">
        <v>225</v>
      </c>
      <c r="E414" s="266" t="s">
        <v>670</v>
      </c>
      <c r="F414" s="522">
        <v>9.9333333333299993</v>
      </c>
      <c r="G414" s="523">
        <v>927.89743589700004</v>
      </c>
    </row>
    <row r="415" spans="2:7" x14ac:dyDescent="0.2">
      <c r="B415" s="521">
        <v>225039</v>
      </c>
      <c r="C415" s="266" t="s">
        <v>678</v>
      </c>
      <c r="D415" s="521">
        <v>225</v>
      </c>
      <c r="E415" s="266" t="s">
        <v>670</v>
      </c>
      <c r="F415" s="522">
        <v>8.8111111111099998</v>
      </c>
      <c r="G415" s="523">
        <v>794.81395348800004</v>
      </c>
    </row>
    <row r="416" spans="2:7" x14ac:dyDescent="0.2">
      <c r="B416" s="521">
        <v>225042</v>
      </c>
      <c r="C416" s="266" t="s">
        <v>679</v>
      </c>
      <c r="D416" s="521">
        <v>225</v>
      </c>
      <c r="E416" s="266" t="s">
        <v>670</v>
      </c>
      <c r="F416" s="522">
        <v>9.84</v>
      </c>
      <c r="G416" s="523">
        <v>950.35714285699999</v>
      </c>
    </row>
    <row r="417" spans="1:7" x14ac:dyDescent="0.2">
      <c r="B417" s="521">
        <v>225052</v>
      </c>
      <c r="C417" s="266" t="s">
        <v>680</v>
      </c>
      <c r="D417" s="521">
        <v>225</v>
      </c>
      <c r="E417" s="266" t="s">
        <v>670</v>
      </c>
      <c r="F417" s="522">
        <v>8.6</v>
      </c>
      <c r="G417" s="523">
        <v>1021.82051282</v>
      </c>
    </row>
    <row r="418" spans="1:7" x14ac:dyDescent="0.2">
      <c r="B418" s="521">
        <v>225058</v>
      </c>
      <c r="C418" s="266" t="s">
        <v>681</v>
      </c>
      <c r="D418" s="521">
        <v>225</v>
      </c>
      <c r="E418" s="266" t="s">
        <v>670</v>
      </c>
      <c r="F418" s="522">
        <v>9.1999999999999993</v>
      </c>
      <c r="G418" s="523">
        <v>978.89583333300004</v>
      </c>
    </row>
    <row r="419" spans="1:7" x14ac:dyDescent="0.2">
      <c r="B419" s="521">
        <v>225060</v>
      </c>
      <c r="C419" s="266" t="s">
        <v>682</v>
      </c>
      <c r="D419" s="521">
        <v>225</v>
      </c>
      <c r="E419" s="266" t="s">
        <v>670</v>
      </c>
      <c r="F419" s="522">
        <v>8.6999999999999993</v>
      </c>
      <c r="G419" s="523">
        <v>988.97087378599997</v>
      </c>
    </row>
    <row r="420" spans="1:7" x14ac:dyDescent="0.2">
      <c r="A420" s="453"/>
      <c r="B420" s="521">
        <v>225064</v>
      </c>
      <c r="C420" s="266" t="s">
        <v>683</v>
      </c>
      <c r="D420" s="521">
        <v>225</v>
      </c>
      <c r="E420" s="266" t="s">
        <v>670</v>
      </c>
      <c r="F420" s="522">
        <v>9.6428571428600005</v>
      </c>
      <c r="G420" s="523">
        <v>952.93103448299996</v>
      </c>
    </row>
    <row r="421" spans="1:7" x14ac:dyDescent="0.2">
      <c r="B421" s="521">
        <v>225067</v>
      </c>
      <c r="C421" s="266" t="s">
        <v>684</v>
      </c>
      <c r="D421" s="521">
        <v>225</v>
      </c>
      <c r="E421" s="266" t="s">
        <v>670</v>
      </c>
      <c r="F421" s="522">
        <v>9.8333333333299997</v>
      </c>
      <c r="G421" s="523">
        <v>950.54166666699996</v>
      </c>
    </row>
    <row r="422" spans="1:7" x14ac:dyDescent="0.2">
      <c r="B422" s="521">
        <v>225068</v>
      </c>
      <c r="C422" s="266" t="s">
        <v>685</v>
      </c>
      <c r="D422" s="521">
        <v>225</v>
      </c>
      <c r="E422" s="266" t="s">
        <v>670</v>
      </c>
      <c r="F422" s="522">
        <v>9.6</v>
      </c>
      <c r="G422" s="523">
        <v>1014.2</v>
      </c>
    </row>
    <row r="423" spans="1:7" x14ac:dyDescent="0.2">
      <c r="B423" s="521">
        <v>225074</v>
      </c>
      <c r="C423" s="266" t="s">
        <v>686</v>
      </c>
      <c r="D423" s="521">
        <v>225</v>
      </c>
      <c r="E423" s="266" t="s">
        <v>670</v>
      </c>
      <c r="F423" s="522">
        <v>9.6999999999999993</v>
      </c>
      <c r="G423" s="523">
        <v>987.31428571399999</v>
      </c>
    </row>
    <row r="424" spans="1:7" x14ac:dyDescent="0.2">
      <c r="B424" s="521">
        <v>225075</v>
      </c>
      <c r="C424" s="266" t="s">
        <v>687</v>
      </c>
      <c r="D424" s="521">
        <v>225</v>
      </c>
      <c r="E424" s="266" t="s">
        <v>670</v>
      </c>
      <c r="F424" s="522">
        <v>9.24</v>
      </c>
      <c r="G424" s="523">
        <v>859.31081081100001</v>
      </c>
    </row>
    <row r="425" spans="1:7" x14ac:dyDescent="0.2">
      <c r="B425" s="521">
        <v>225082</v>
      </c>
      <c r="C425" s="266" t="s">
        <v>589</v>
      </c>
      <c r="D425" s="521">
        <v>225</v>
      </c>
      <c r="E425" s="266" t="s">
        <v>670</v>
      </c>
      <c r="F425" s="522">
        <v>9.15</v>
      </c>
      <c r="G425" s="523">
        <v>811</v>
      </c>
    </row>
    <row r="426" spans="1:7" x14ac:dyDescent="0.2">
      <c r="B426" s="521">
        <v>225091</v>
      </c>
      <c r="C426" s="266" t="s">
        <v>688</v>
      </c>
      <c r="D426" s="521">
        <v>225</v>
      </c>
      <c r="E426" s="266" t="s">
        <v>670</v>
      </c>
      <c r="F426" s="522">
        <v>9.1999999999999993</v>
      </c>
      <c r="G426" s="523">
        <v>900.36956521699994</v>
      </c>
    </row>
    <row r="427" spans="1:7" x14ac:dyDescent="0.2">
      <c r="B427" s="521">
        <v>225109</v>
      </c>
      <c r="C427" s="266" t="s">
        <v>689</v>
      </c>
      <c r="D427" s="521">
        <v>225</v>
      </c>
      <c r="E427" s="266" t="s">
        <v>670</v>
      </c>
      <c r="F427" s="522">
        <v>8.9</v>
      </c>
      <c r="G427" s="523">
        <v>825.22448979599994</v>
      </c>
    </row>
    <row r="428" spans="1:7" x14ac:dyDescent="0.2">
      <c r="B428" s="521">
        <v>225113</v>
      </c>
      <c r="C428" s="266" t="s">
        <v>690</v>
      </c>
      <c r="D428" s="521">
        <v>225</v>
      </c>
      <c r="E428" s="266" t="s">
        <v>670</v>
      </c>
      <c r="F428" s="522">
        <v>9.5</v>
      </c>
      <c r="G428" s="523">
        <v>982.66666666699996</v>
      </c>
    </row>
    <row r="429" spans="1:7" x14ac:dyDescent="0.2">
      <c r="B429" s="521">
        <v>225114</v>
      </c>
      <c r="C429" s="266" t="s">
        <v>691</v>
      </c>
      <c r="D429" s="521">
        <v>225</v>
      </c>
      <c r="E429" s="266" t="s">
        <v>670</v>
      </c>
      <c r="F429" s="522">
        <v>9.25</v>
      </c>
      <c r="G429" s="523">
        <v>837.12121212099999</v>
      </c>
    </row>
    <row r="430" spans="1:7" x14ac:dyDescent="0.2">
      <c r="B430" s="521">
        <v>225115</v>
      </c>
      <c r="C430" s="266" t="s">
        <v>692</v>
      </c>
      <c r="D430" s="521">
        <v>225</v>
      </c>
      <c r="E430" s="266" t="s">
        <v>670</v>
      </c>
      <c r="F430" s="522">
        <v>9.35</v>
      </c>
      <c r="G430" s="523">
        <v>910.76470588200004</v>
      </c>
    </row>
    <row r="431" spans="1:7" x14ac:dyDescent="0.2">
      <c r="B431" s="521">
        <v>225116</v>
      </c>
      <c r="C431" s="266" t="s">
        <v>693</v>
      </c>
      <c r="D431" s="521">
        <v>225</v>
      </c>
      <c r="E431" s="266" t="s">
        <v>670</v>
      </c>
      <c r="F431" s="522">
        <v>9.5</v>
      </c>
      <c r="G431" s="523">
        <v>1056.875</v>
      </c>
    </row>
    <row r="432" spans="1:7" x14ac:dyDescent="0.2">
      <c r="B432" s="521">
        <v>225117</v>
      </c>
      <c r="C432" s="266" t="s">
        <v>694</v>
      </c>
      <c r="D432" s="521">
        <v>225</v>
      </c>
      <c r="E432" s="266" t="s">
        <v>670</v>
      </c>
      <c r="F432" s="522">
        <v>9.4</v>
      </c>
      <c r="G432" s="523">
        <v>935.34722222200003</v>
      </c>
    </row>
    <row r="433" spans="2:7" x14ac:dyDescent="0.2">
      <c r="B433" s="524">
        <v>225118</v>
      </c>
      <c r="C433" s="525" t="s">
        <v>695</v>
      </c>
      <c r="D433" s="524">
        <v>225</v>
      </c>
      <c r="E433" s="525" t="s">
        <v>670</v>
      </c>
      <c r="F433" s="526">
        <v>8.7750000000000004</v>
      </c>
      <c r="G433" s="527">
        <v>1077.6349206299999</v>
      </c>
    </row>
    <row r="434" spans="2:7" x14ac:dyDescent="0.2">
      <c r="B434" s="521">
        <v>226003</v>
      </c>
      <c r="C434" s="266" t="s">
        <v>696</v>
      </c>
      <c r="D434" s="521">
        <v>226</v>
      </c>
      <c r="E434" s="266" t="s">
        <v>697</v>
      </c>
      <c r="F434" s="522">
        <v>10.95</v>
      </c>
      <c r="G434" s="523">
        <v>702.18421052600002</v>
      </c>
    </row>
    <row r="435" spans="2:7" x14ac:dyDescent="0.2">
      <c r="B435" s="521">
        <v>226006</v>
      </c>
      <c r="C435" s="266" t="s">
        <v>698</v>
      </c>
      <c r="D435" s="521">
        <v>226</v>
      </c>
      <c r="E435" s="266" t="s">
        <v>697</v>
      </c>
      <c r="F435" s="522">
        <v>10.4</v>
      </c>
      <c r="G435" s="523">
        <v>920.56</v>
      </c>
    </row>
    <row r="436" spans="2:7" x14ac:dyDescent="0.2">
      <c r="B436" s="521">
        <v>226009</v>
      </c>
      <c r="C436" s="266" t="s">
        <v>699</v>
      </c>
      <c r="D436" s="521">
        <v>226</v>
      </c>
      <c r="E436" s="266" t="s">
        <v>697</v>
      </c>
      <c r="F436" s="522">
        <v>11</v>
      </c>
      <c r="G436" s="523">
        <v>681.64285714300001</v>
      </c>
    </row>
    <row r="437" spans="2:7" x14ac:dyDescent="0.2">
      <c r="B437" s="521">
        <v>226010</v>
      </c>
      <c r="C437" s="266" t="s">
        <v>700</v>
      </c>
      <c r="D437" s="521">
        <v>226</v>
      </c>
      <c r="E437" s="266" t="s">
        <v>697</v>
      </c>
      <c r="F437" s="522">
        <v>10.35</v>
      </c>
      <c r="G437" s="523">
        <v>843.89189189199999</v>
      </c>
    </row>
    <row r="438" spans="2:7" x14ac:dyDescent="0.2">
      <c r="B438" s="521">
        <v>226012</v>
      </c>
      <c r="C438" s="266" t="s">
        <v>701</v>
      </c>
      <c r="D438" s="521">
        <v>226</v>
      </c>
      <c r="E438" s="266" t="s">
        <v>697</v>
      </c>
      <c r="F438" s="522">
        <v>9.9666666666699992</v>
      </c>
      <c r="G438" s="523">
        <v>927.59375</v>
      </c>
    </row>
    <row r="439" spans="2:7" x14ac:dyDescent="0.2">
      <c r="B439" s="521">
        <v>226013</v>
      </c>
      <c r="C439" s="266" t="s">
        <v>702</v>
      </c>
      <c r="D439" s="521">
        <v>226</v>
      </c>
      <c r="E439" s="266" t="s">
        <v>697</v>
      </c>
      <c r="F439" s="522">
        <v>9.0500000000000007</v>
      </c>
      <c r="G439" s="523">
        <v>1085.432</v>
      </c>
    </row>
    <row r="440" spans="2:7" x14ac:dyDescent="0.2">
      <c r="B440" s="521">
        <v>226017</v>
      </c>
      <c r="C440" s="266" t="s">
        <v>703</v>
      </c>
      <c r="D440" s="521">
        <v>226</v>
      </c>
      <c r="E440" s="266" t="s">
        <v>697</v>
      </c>
      <c r="F440" s="522">
        <v>9.6777777777799994</v>
      </c>
      <c r="G440" s="523">
        <v>994.75757575800003</v>
      </c>
    </row>
    <row r="441" spans="2:7" x14ac:dyDescent="0.2">
      <c r="B441" s="521">
        <v>226018</v>
      </c>
      <c r="C441" s="266" t="s">
        <v>704</v>
      </c>
      <c r="D441" s="521">
        <v>226</v>
      </c>
      <c r="E441" s="266" t="s">
        <v>697</v>
      </c>
      <c r="F441" s="522">
        <v>11.25</v>
      </c>
      <c r="G441" s="523">
        <v>729</v>
      </c>
    </row>
    <row r="442" spans="2:7" x14ac:dyDescent="0.2">
      <c r="B442" s="521">
        <v>226020</v>
      </c>
      <c r="C442" s="266" t="s">
        <v>705</v>
      </c>
      <c r="D442" s="521">
        <v>226</v>
      </c>
      <c r="E442" s="266" t="s">
        <v>697</v>
      </c>
      <c r="F442" s="522">
        <v>10.25</v>
      </c>
      <c r="G442" s="523">
        <v>887.5</v>
      </c>
    </row>
    <row r="443" spans="2:7" x14ac:dyDescent="0.2">
      <c r="B443" s="521">
        <v>226022</v>
      </c>
      <c r="C443" s="266" t="s">
        <v>706</v>
      </c>
      <c r="D443" s="521">
        <v>226</v>
      </c>
      <c r="E443" s="266" t="s">
        <v>697</v>
      </c>
      <c r="F443" s="522">
        <v>9.8555555555600005</v>
      </c>
      <c r="G443" s="523">
        <v>952.58333333300004</v>
      </c>
    </row>
    <row r="444" spans="2:7" x14ac:dyDescent="0.2">
      <c r="B444" s="521">
        <v>226027</v>
      </c>
      <c r="C444" s="266" t="s">
        <v>707</v>
      </c>
      <c r="D444" s="521">
        <v>226</v>
      </c>
      <c r="E444" s="266" t="s">
        <v>697</v>
      </c>
      <c r="F444" s="522">
        <v>9.5</v>
      </c>
      <c r="G444" s="523">
        <v>1100.5</v>
      </c>
    </row>
    <row r="445" spans="2:7" x14ac:dyDescent="0.2">
      <c r="B445" s="521">
        <v>226028</v>
      </c>
      <c r="C445" s="266" t="s">
        <v>708</v>
      </c>
      <c r="D445" s="521">
        <v>226</v>
      </c>
      <c r="E445" s="266" t="s">
        <v>697</v>
      </c>
      <c r="F445" s="522">
        <v>10.9</v>
      </c>
      <c r="G445" s="523">
        <v>736.68421052600002</v>
      </c>
    </row>
    <row r="446" spans="2:7" x14ac:dyDescent="0.2">
      <c r="B446" s="521">
        <v>226029</v>
      </c>
      <c r="C446" s="266" t="s">
        <v>709</v>
      </c>
      <c r="D446" s="521">
        <v>226</v>
      </c>
      <c r="E446" s="266" t="s">
        <v>697</v>
      </c>
      <c r="F446" s="522">
        <v>9.11538461538</v>
      </c>
      <c r="G446" s="523">
        <v>1155.2692307699999</v>
      </c>
    </row>
    <row r="447" spans="2:7" x14ac:dyDescent="0.2">
      <c r="B447" s="521">
        <v>226031</v>
      </c>
      <c r="C447" s="266" t="s">
        <v>710</v>
      </c>
      <c r="D447" s="521">
        <v>226</v>
      </c>
      <c r="E447" s="266" t="s">
        <v>697</v>
      </c>
      <c r="F447" s="522">
        <v>10.175000000000001</v>
      </c>
      <c r="G447" s="523">
        <v>852.52941176499996</v>
      </c>
    </row>
    <row r="448" spans="2:7" x14ac:dyDescent="0.2">
      <c r="B448" s="521">
        <v>226032</v>
      </c>
      <c r="C448" s="266" t="s">
        <v>711</v>
      </c>
      <c r="D448" s="521">
        <v>226</v>
      </c>
      <c r="E448" s="266" t="s">
        <v>697</v>
      </c>
      <c r="F448" s="522">
        <v>11.05</v>
      </c>
      <c r="G448" s="523">
        <v>691.02702702700003</v>
      </c>
    </row>
    <row r="449" spans="1:7" x14ac:dyDescent="0.2">
      <c r="B449" s="521">
        <v>226036</v>
      </c>
      <c r="C449" s="266" t="s">
        <v>712</v>
      </c>
      <c r="D449" s="521">
        <v>226</v>
      </c>
      <c r="E449" s="266" t="s">
        <v>697</v>
      </c>
      <c r="F449" s="522">
        <v>10.95</v>
      </c>
      <c r="G449" s="523">
        <v>711.125</v>
      </c>
    </row>
    <row r="450" spans="1:7" x14ac:dyDescent="0.2">
      <c r="A450" s="453"/>
      <c r="B450" s="521">
        <v>226037</v>
      </c>
      <c r="C450" s="266" t="s">
        <v>713</v>
      </c>
      <c r="D450" s="521">
        <v>226</v>
      </c>
      <c r="E450" s="266" t="s">
        <v>697</v>
      </c>
      <c r="F450" s="522">
        <v>11.05</v>
      </c>
      <c r="G450" s="523">
        <v>690.84210526300001</v>
      </c>
    </row>
    <row r="451" spans="1:7" x14ac:dyDescent="0.2">
      <c r="B451" s="521">
        <v>226038</v>
      </c>
      <c r="C451" s="266" t="s">
        <v>714</v>
      </c>
      <c r="D451" s="521">
        <v>226</v>
      </c>
      <c r="E451" s="266" t="s">
        <v>697</v>
      </c>
      <c r="F451" s="522">
        <v>11.05</v>
      </c>
      <c r="G451" s="523">
        <v>727.4</v>
      </c>
    </row>
    <row r="452" spans="1:7" x14ac:dyDescent="0.2">
      <c r="B452" s="521">
        <v>226040</v>
      </c>
      <c r="C452" s="266" t="s">
        <v>715</v>
      </c>
      <c r="D452" s="521">
        <v>226</v>
      </c>
      <c r="E452" s="266" t="s">
        <v>697</v>
      </c>
      <c r="F452" s="522">
        <v>10.1875</v>
      </c>
      <c r="G452" s="523">
        <v>869.33333333300004</v>
      </c>
    </row>
    <row r="453" spans="1:7" x14ac:dyDescent="0.2">
      <c r="B453" s="521">
        <v>226041</v>
      </c>
      <c r="C453" s="266" t="s">
        <v>716</v>
      </c>
      <c r="D453" s="521">
        <v>226</v>
      </c>
      <c r="E453" s="266" t="s">
        <v>697</v>
      </c>
      <c r="F453" s="522">
        <v>10.5</v>
      </c>
      <c r="G453" s="523">
        <v>814.29824561400005</v>
      </c>
    </row>
    <row r="454" spans="1:7" x14ac:dyDescent="0.2">
      <c r="B454" s="521">
        <v>226046</v>
      </c>
      <c r="C454" s="266" t="s">
        <v>617</v>
      </c>
      <c r="D454" s="521">
        <v>226</v>
      </c>
      <c r="E454" s="266" t="s">
        <v>697</v>
      </c>
      <c r="F454" s="522">
        <v>10.4857142857</v>
      </c>
      <c r="G454" s="523">
        <v>774.46153846200002</v>
      </c>
    </row>
    <row r="455" spans="1:7" x14ac:dyDescent="0.2">
      <c r="B455" s="521">
        <v>226048</v>
      </c>
      <c r="C455" s="266" t="s">
        <v>717</v>
      </c>
      <c r="D455" s="521">
        <v>226</v>
      </c>
      <c r="E455" s="266" t="s">
        <v>697</v>
      </c>
      <c r="F455" s="522">
        <v>10.357142857099999</v>
      </c>
      <c r="G455" s="523">
        <v>898.73333333300002</v>
      </c>
    </row>
    <row r="456" spans="1:7" x14ac:dyDescent="0.2">
      <c r="B456" s="521">
        <v>226049</v>
      </c>
      <c r="C456" s="266" t="s">
        <v>718</v>
      </c>
      <c r="D456" s="521">
        <v>226</v>
      </c>
      <c r="E456" s="266" t="s">
        <v>697</v>
      </c>
      <c r="F456" s="522">
        <v>10.285714285699999</v>
      </c>
      <c r="G456" s="523">
        <v>887.64</v>
      </c>
    </row>
    <row r="457" spans="1:7" x14ac:dyDescent="0.2">
      <c r="B457" s="521">
        <v>226054</v>
      </c>
      <c r="C457" s="266" t="s">
        <v>719</v>
      </c>
      <c r="D457" s="521">
        <v>226</v>
      </c>
      <c r="E457" s="266" t="s">
        <v>697</v>
      </c>
      <c r="F457" s="522">
        <v>10.4</v>
      </c>
      <c r="G457" s="523">
        <v>812.31034482799998</v>
      </c>
    </row>
    <row r="458" spans="1:7" x14ac:dyDescent="0.2">
      <c r="B458" s="521">
        <v>226055</v>
      </c>
      <c r="C458" s="266" t="s">
        <v>720</v>
      </c>
      <c r="D458" s="521">
        <v>226</v>
      </c>
      <c r="E458" s="266" t="s">
        <v>697</v>
      </c>
      <c r="F458" s="522">
        <v>10.0142857143</v>
      </c>
      <c r="G458" s="523">
        <v>901.72093023299999</v>
      </c>
    </row>
    <row r="459" spans="1:7" x14ac:dyDescent="0.2">
      <c r="B459" s="521">
        <v>226056</v>
      </c>
      <c r="C459" s="266" t="s">
        <v>721</v>
      </c>
      <c r="D459" s="521">
        <v>226</v>
      </c>
      <c r="E459" s="266" t="s">
        <v>697</v>
      </c>
      <c r="F459" s="522">
        <v>9.9684210526299992</v>
      </c>
      <c r="G459" s="523">
        <v>948.90243902400005</v>
      </c>
    </row>
    <row r="460" spans="1:7" x14ac:dyDescent="0.2">
      <c r="B460" s="521">
        <v>226058</v>
      </c>
      <c r="C460" s="266" t="s">
        <v>722</v>
      </c>
      <c r="D460" s="521">
        <v>226</v>
      </c>
      <c r="E460" s="266" t="s">
        <v>697</v>
      </c>
      <c r="F460" s="522">
        <v>10.15</v>
      </c>
      <c r="G460" s="523">
        <v>896.21052631600003</v>
      </c>
    </row>
    <row r="461" spans="1:7" x14ac:dyDescent="0.2">
      <c r="B461" s="521">
        <v>226059</v>
      </c>
      <c r="C461" s="266" t="s">
        <v>723</v>
      </c>
      <c r="D461" s="521">
        <v>226</v>
      </c>
      <c r="E461" s="266" t="s">
        <v>697</v>
      </c>
      <c r="F461" s="522">
        <v>10.95</v>
      </c>
      <c r="G461" s="523">
        <v>702.33333333300004</v>
      </c>
    </row>
    <row r="462" spans="1:7" x14ac:dyDescent="0.2">
      <c r="B462" s="521">
        <v>226060</v>
      </c>
      <c r="C462" s="266" t="s">
        <v>724</v>
      </c>
      <c r="D462" s="521">
        <v>226</v>
      </c>
      <c r="E462" s="266" t="s">
        <v>697</v>
      </c>
      <c r="F462" s="522">
        <v>10.6</v>
      </c>
      <c r="G462" s="523">
        <v>821.38888888899999</v>
      </c>
    </row>
    <row r="463" spans="1:7" x14ac:dyDescent="0.2">
      <c r="B463" s="521">
        <v>226062</v>
      </c>
      <c r="C463" s="266" t="s">
        <v>725</v>
      </c>
      <c r="D463" s="521">
        <v>226</v>
      </c>
      <c r="E463" s="266" t="s">
        <v>697</v>
      </c>
      <c r="F463" s="522">
        <v>11.15</v>
      </c>
      <c r="G463" s="523">
        <v>710.65</v>
      </c>
    </row>
    <row r="464" spans="1:7" x14ac:dyDescent="0.2">
      <c r="B464" s="521">
        <v>226063</v>
      </c>
      <c r="C464" s="266" t="s">
        <v>726</v>
      </c>
      <c r="D464" s="521">
        <v>226</v>
      </c>
      <c r="E464" s="266" t="s">
        <v>697</v>
      </c>
      <c r="F464" s="522">
        <v>11.15</v>
      </c>
      <c r="G464" s="523">
        <v>711.16666666699996</v>
      </c>
    </row>
    <row r="465" spans="1:7" x14ac:dyDescent="0.2">
      <c r="B465" s="521">
        <v>226065</v>
      </c>
      <c r="C465" s="266" t="s">
        <v>727</v>
      </c>
      <c r="D465" s="521">
        <v>226</v>
      </c>
      <c r="E465" s="266" t="s">
        <v>697</v>
      </c>
      <c r="F465" s="522">
        <v>10.45</v>
      </c>
      <c r="G465" s="523">
        <v>781.21052631600003</v>
      </c>
    </row>
    <row r="466" spans="1:7" x14ac:dyDescent="0.2">
      <c r="B466" s="521">
        <v>226066</v>
      </c>
      <c r="C466" s="266" t="s">
        <v>728</v>
      </c>
      <c r="D466" s="521">
        <v>226</v>
      </c>
      <c r="E466" s="266" t="s">
        <v>697</v>
      </c>
      <c r="F466" s="522">
        <v>9.5</v>
      </c>
      <c r="G466" s="523">
        <v>1038.2608695700001</v>
      </c>
    </row>
    <row r="467" spans="1:7" x14ac:dyDescent="0.2">
      <c r="B467" s="521">
        <v>226068</v>
      </c>
      <c r="C467" s="266" t="s">
        <v>729</v>
      </c>
      <c r="D467" s="521">
        <v>226</v>
      </c>
      <c r="E467" s="266" t="s">
        <v>697</v>
      </c>
      <c r="F467" s="522">
        <v>10.95</v>
      </c>
      <c r="G467" s="523">
        <v>701.45833333300004</v>
      </c>
    </row>
    <row r="468" spans="1:7" x14ac:dyDescent="0.2">
      <c r="B468" s="521">
        <v>226076</v>
      </c>
      <c r="C468" s="266" t="s">
        <v>730</v>
      </c>
      <c r="D468" s="521">
        <v>226</v>
      </c>
      <c r="E468" s="266" t="s">
        <v>697</v>
      </c>
      <c r="F468" s="522">
        <v>11.1</v>
      </c>
      <c r="G468" s="523">
        <v>729.57894736799994</v>
      </c>
    </row>
    <row r="469" spans="1:7" x14ac:dyDescent="0.2">
      <c r="B469" s="521">
        <v>226080</v>
      </c>
      <c r="C469" s="266" t="s">
        <v>731</v>
      </c>
      <c r="D469" s="521">
        <v>226</v>
      </c>
      <c r="E469" s="266" t="s">
        <v>697</v>
      </c>
      <c r="F469" s="522">
        <v>9.59</v>
      </c>
      <c r="G469" s="523">
        <v>1075.7317073199999</v>
      </c>
    </row>
    <row r="470" spans="1:7" x14ac:dyDescent="0.2">
      <c r="B470" s="521">
        <v>226081</v>
      </c>
      <c r="C470" s="266" t="s">
        <v>732</v>
      </c>
      <c r="D470" s="521">
        <v>226</v>
      </c>
      <c r="E470" s="266" t="s">
        <v>697</v>
      </c>
      <c r="F470" s="522">
        <v>9.1117647058800006</v>
      </c>
      <c r="G470" s="523">
        <v>1134.7037037</v>
      </c>
    </row>
    <row r="471" spans="1:7" x14ac:dyDescent="0.2">
      <c r="B471" s="521">
        <v>226082</v>
      </c>
      <c r="C471" s="266" t="s">
        <v>733</v>
      </c>
      <c r="D471" s="521">
        <v>226</v>
      </c>
      <c r="E471" s="266" t="s">
        <v>697</v>
      </c>
      <c r="F471" s="522">
        <v>9.7913043478299997</v>
      </c>
      <c r="G471" s="523">
        <v>1019.20454545</v>
      </c>
    </row>
    <row r="472" spans="1:7" x14ac:dyDescent="0.2">
      <c r="B472" s="521">
        <v>226084</v>
      </c>
      <c r="C472" s="266" t="s">
        <v>734</v>
      </c>
      <c r="D472" s="521">
        <v>226</v>
      </c>
      <c r="E472" s="266" t="s">
        <v>697</v>
      </c>
      <c r="F472" s="522">
        <v>11.05</v>
      </c>
      <c r="G472" s="523">
        <v>693.03225806499995</v>
      </c>
    </row>
    <row r="473" spans="1:7" x14ac:dyDescent="0.2">
      <c r="B473" s="521">
        <v>226085</v>
      </c>
      <c r="C473" s="266" t="s">
        <v>735</v>
      </c>
      <c r="D473" s="521">
        <v>226</v>
      </c>
      <c r="E473" s="266" t="s">
        <v>697</v>
      </c>
      <c r="F473" s="522">
        <v>10.050000000000001</v>
      </c>
      <c r="G473" s="523">
        <v>854.57851239700005</v>
      </c>
    </row>
    <row r="474" spans="1:7" x14ac:dyDescent="0.2">
      <c r="B474" s="521">
        <v>226086</v>
      </c>
      <c r="C474" s="266" t="s">
        <v>736</v>
      </c>
      <c r="D474" s="521">
        <v>226</v>
      </c>
      <c r="E474" s="266" t="s">
        <v>697</v>
      </c>
      <c r="F474" s="522">
        <v>10.0142857143</v>
      </c>
      <c r="G474" s="523">
        <v>966.46666666700003</v>
      </c>
    </row>
    <row r="475" spans="1:7" x14ac:dyDescent="0.2">
      <c r="B475" s="521">
        <v>226091</v>
      </c>
      <c r="C475" s="266" t="s">
        <v>737</v>
      </c>
      <c r="D475" s="521">
        <v>226</v>
      </c>
      <c r="E475" s="266" t="s">
        <v>697</v>
      </c>
      <c r="F475" s="522">
        <v>10.199999999999999</v>
      </c>
      <c r="G475" s="523">
        <v>874.60526315799996</v>
      </c>
    </row>
    <row r="476" spans="1:7" x14ac:dyDescent="0.2">
      <c r="B476" s="521">
        <v>226095</v>
      </c>
      <c r="C476" s="266" t="s">
        <v>738</v>
      </c>
      <c r="D476" s="521">
        <v>226</v>
      </c>
      <c r="E476" s="266" t="s">
        <v>697</v>
      </c>
      <c r="F476" s="522">
        <v>10.9</v>
      </c>
      <c r="G476" s="523">
        <v>723.47368421099998</v>
      </c>
    </row>
    <row r="477" spans="1:7" x14ac:dyDescent="0.2">
      <c r="B477" s="521">
        <v>226096</v>
      </c>
      <c r="C477" s="266" t="s">
        <v>739</v>
      </c>
      <c r="D477" s="521">
        <v>226</v>
      </c>
      <c r="E477" s="266" t="s">
        <v>697</v>
      </c>
      <c r="F477" s="522">
        <v>9.8869565217400002</v>
      </c>
      <c r="G477" s="523">
        <v>908.11650485400003</v>
      </c>
    </row>
    <row r="478" spans="1:7" x14ac:dyDescent="0.2">
      <c r="B478" s="521">
        <v>226097</v>
      </c>
      <c r="C478" s="266" t="s">
        <v>740</v>
      </c>
      <c r="D478" s="521">
        <v>226</v>
      </c>
      <c r="E478" s="266" t="s">
        <v>697</v>
      </c>
      <c r="F478" s="522">
        <v>10.25</v>
      </c>
      <c r="G478" s="523">
        <v>937.93333333299995</v>
      </c>
    </row>
    <row r="479" spans="1:7" x14ac:dyDescent="0.2">
      <c r="B479" s="521">
        <v>226098</v>
      </c>
      <c r="C479" s="266" t="s">
        <v>741</v>
      </c>
      <c r="D479" s="521">
        <v>226</v>
      </c>
      <c r="E479" s="266" t="s">
        <v>697</v>
      </c>
      <c r="F479" s="522">
        <v>10.6</v>
      </c>
      <c r="G479" s="523">
        <v>808.72881355899995</v>
      </c>
    </row>
    <row r="480" spans="1:7" x14ac:dyDescent="0.2">
      <c r="A480" s="453"/>
      <c r="B480" s="521">
        <v>226099</v>
      </c>
      <c r="C480" s="266" t="s">
        <v>742</v>
      </c>
      <c r="D480" s="521">
        <v>226</v>
      </c>
      <c r="E480" s="266" t="s">
        <v>697</v>
      </c>
      <c r="F480" s="522">
        <v>9.3222222222200006</v>
      </c>
      <c r="G480" s="523">
        <v>1171.66666667</v>
      </c>
    </row>
    <row r="481" spans="2:7" x14ac:dyDescent="0.2">
      <c r="B481" s="521">
        <v>226101</v>
      </c>
      <c r="C481" s="266" t="s">
        <v>743</v>
      </c>
      <c r="D481" s="521">
        <v>226</v>
      </c>
      <c r="E481" s="266" t="s">
        <v>697</v>
      </c>
      <c r="F481" s="522">
        <v>10.35</v>
      </c>
      <c r="G481" s="523">
        <v>856.21052631600003</v>
      </c>
    </row>
    <row r="482" spans="2:7" x14ac:dyDescent="0.2">
      <c r="B482" s="521">
        <v>226102</v>
      </c>
      <c r="C482" s="266" t="s">
        <v>744</v>
      </c>
      <c r="D482" s="521">
        <v>226</v>
      </c>
      <c r="E482" s="266" t="s">
        <v>697</v>
      </c>
      <c r="F482" s="522">
        <v>10.199999999999999</v>
      </c>
      <c r="G482" s="523">
        <v>835.52173913000001</v>
      </c>
    </row>
    <row r="483" spans="2:7" x14ac:dyDescent="0.2">
      <c r="B483" s="521">
        <v>226103</v>
      </c>
      <c r="C483" s="266" t="s">
        <v>745</v>
      </c>
      <c r="D483" s="521">
        <v>226</v>
      </c>
      <c r="E483" s="266" t="s">
        <v>697</v>
      </c>
      <c r="F483" s="522">
        <v>10.9</v>
      </c>
      <c r="G483" s="523">
        <v>720.52631578900002</v>
      </c>
    </row>
    <row r="484" spans="2:7" x14ac:dyDescent="0.2">
      <c r="B484" s="521">
        <v>226104</v>
      </c>
      <c r="C484" s="266" t="s">
        <v>746</v>
      </c>
      <c r="D484" s="521">
        <v>226</v>
      </c>
      <c r="E484" s="266" t="s">
        <v>697</v>
      </c>
      <c r="F484" s="522">
        <v>9.6437500000000007</v>
      </c>
      <c r="G484" s="523">
        <v>1002.02777778</v>
      </c>
    </row>
    <row r="485" spans="2:7" x14ac:dyDescent="0.2">
      <c r="B485" s="521">
        <v>226105</v>
      </c>
      <c r="C485" s="266" t="s">
        <v>747</v>
      </c>
      <c r="D485" s="521">
        <v>226</v>
      </c>
      <c r="E485" s="266" t="s">
        <v>697</v>
      </c>
      <c r="F485" s="522">
        <v>11.1</v>
      </c>
      <c r="G485" s="523">
        <v>700.188679245</v>
      </c>
    </row>
    <row r="486" spans="2:7" x14ac:dyDescent="0.2">
      <c r="B486" s="521">
        <v>226106</v>
      </c>
      <c r="C486" s="266" t="s">
        <v>748</v>
      </c>
      <c r="D486" s="521">
        <v>226</v>
      </c>
      <c r="E486" s="266" t="s">
        <v>697</v>
      </c>
      <c r="F486" s="522">
        <v>9.9625000000000004</v>
      </c>
      <c r="G486" s="523">
        <v>924.15555555599997</v>
      </c>
    </row>
    <row r="487" spans="2:7" x14ac:dyDescent="0.2">
      <c r="B487" s="524">
        <v>226107</v>
      </c>
      <c r="C487" s="525" t="s">
        <v>749</v>
      </c>
      <c r="D487" s="524">
        <v>226</v>
      </c>
      <c r="E487" s="525" t="s">
        <v>697</v>
      </c>
      <c r="F487" s="526">
        <v>10.108333333299999</v>
      </c>
      <c r="G487" s="527">
        <v>872.20833333300004</v>
      </c>
    </row>
    <row r="488" spans="2:7" x14ac:dyDescent="0.2">
      <c r="B488" s="528">
        <v>231000</v>
      </c>
      <c r="C488" s="529" t="s">
        <v>750</v>
      </c>
      <c r="D488" s="528">
        <v>231</v>
      </c>
      <c r="E488" s="529" t="s">
        <v>751</v>
      </c>
      <c r="F488" s="530">
        <v>8.9</v>
      </c>
      <c r="G488" s="531">
        <v>931.00793650799994</v>
      </c>
    </row>
    <row r="489" spans="2:7" x14ac:dyDescent="0.2">
      <c r="B489" s="521">
        <v>235006</v>
      </c>
      <c r="C489" s="266" t="s">
        <v>752</v>
      </c>
      <c r="D489" s="521">
        <v>235</v>
      </c>
      <c r="E489" s="266" t="s">
        <v>753</v>
      </c>
      <c r="F489" s="522">
        <v>7.99473684211</v>
      </c>
      <c r="G489" s="523">
        <v>1077.7087378599999</v>
      </c>
    </row>
    <row r="490" spans="2:7" x14ac:dyDescent="0.2">
      <c r="B490" s="521">
        <v>235007</v>
      </c>
      <c r="C490" s="266" t="s">
        <v>754</v>
      </c>
      <c r="D490" s="521">
        <v>235</v>
      </c>
      <c r="E490" s="266" t="s">
        <v>753</v>
      </c>
      <c r="F490" s="522">
        <v>8.6999999999999993</v>
      </c>
      <c r="G490" s="523">
        <v>905.78378378399998</v>
      </c>
    </row>
    <row r="491" spans="2:7" x14ac:dyDescent="0.2">
      <c r="B491" s="521">
        <v>235008</v>
      </c>
      <c r="C491" s="266" t="s">
        <v>755</v>
      </c>
      <c r="D491" s="521">
        <v>235</v>
      </c>
      <c r="E491" s="266" t="s">
        <v>753</v>
      </c>
      <c r="F491" s="522">
        <v>8.5285714285700003</v>
      </c>
      <c r="G491" s="523">
        <v>998.47297297299997</v>
      </c>
    </row>
    <row r="492" spans="2:7" x14ac:dyDescent="0.2">
      <c r="B492" s="521">
        <v>235018</v>
      </c>
      <c r="C492" s="266" t="s">
        <v>756</v>
      </c>
      <c r="D492" s="521">
        <v>235</v>
      </c>
      <c r="E492" s="266" t="s">
        <v>753</v>
      </c>
      <c r="F492" s="522">
        <v>7.8777777777800004</v>
      </c>
      <c r="G492" s="523">
        <v>1491.7272727300001</v>
      </c>
    </row>
    <row r="493" spans="2:7" x14ac:dyDescent="0.2">
      <c r="B493" s="521">
        <v>235020</v>
      </c>
      <c r="C493" s="266" t="s">
        <v>757</v>
      </c>
      <c r="D493" s="521">
        <v>235</v>
      </c>
      <c r="E493" s="266" t="s">
        <v>753</v>
      </c>
      <c r="F493" s="522">
        <v>8.3666666666699996</v>
      </c>
      <c r="G493" s="523">
        <v>949.95744680899998</v>
      </c>
    </row>
    <row r="494" spans="2:7" x14ac:dyDescent="0.2">
      <c r="B494" s="521">
        <v>235022</v>
      </c>
      <c r="C494" s="266" t="s">
        <v>758</v>
      </c>
      <c r="D494" s="521">
        <v>235</v>
      </c>
      <c r="E494" s="266" t="s">
        <v>753</v>
      </c>
      <c r="F494" s="522">
        <v>8.15</v>
      </c>
      <c r="G494" s="523">
        <v>1042.22222222</v>
      </c>
    </row>
    <row r="495" spans="2:7" x14ac:dyDescent="0.2">
      <c r="B495" s="521">
        <v>235025</v>
      </c>
      <c r="C495" s="266" t="s">
        <v>759</v>
      </c>
      <c r="D495" s="521">
        <v>235</v>
      </c>
      <c r="E495" s="266" t="s">
        <v>753</v>
      </c>
      <c r="F495" s="522">
        <v>6.8666666666699996</v>
      </c>
      <c r="G495" s="523">
        <v>1573.3877551</v>
      </c>
    </row>
    <row r="496" spans="2:7" x14ac:dyDescent="0.2">
      <c r="B496" s="521">
        <v>235029</v>
      </c>
      <c r="C496" s="266" t="s">
        <v>760</v>
      </c>
      <c r="D496" s="521">
        <v>235</v>
      </c>
      <c r="E496" s="266" t="s">
        <v>753</v>
      </c>
      <c r="F496" s="522">
        <v>8.4666666666699992</v>
      </c>
      <c r="G496" s="523">
        <v>878.96153846200002</v>
      </c>
    </row>
    <row r="497" spans="1:7" x14ac:dyDescent="0.2">
      <c r="B497" s="521">
        <v>235032</v>
      </c>
      <c r="C497" s="266" t="s">
        <v>761</v>
      </c>
      <c r="D497" s="521">
        <v>235</v>
      </c>
      <c r="E497" s="266" t="s">
        <v>753</v>
      </c>
      <c r="F497" s="522">
        <v>8.15</v>
      </c>
      <c r="G497" s="523">
        <v>991.62790697699995</v>
      </c>
    </row>
    <row r="498" spans="1:7" x14ac:dyDescent="0.2">
      <c r="B498" s="521">
        <v>235033</v>
      </c>
      <c r="C498" s="266" t="s">
        <v>762</v>
      </c>
      <c r="D498" s="521">
        <v>235</v>
      </c>
      <c r="E498" s="266" t="s">
        <v>753</v>
      </c>
      <c r="F498" s="522">
        <v>8.0451612903199994</v>
      </c>
      <c r="G498" s="523">
        <v>1491.2365591400001</v>
      </c>
    </row>
    <row r="499" spans="1:7" x14ac:dyDescent="0.2">
      <c r="B499" s="521">
        <v>235035</v>
      </c>
      <c r="C499" s="266" t="s">
        <v>763</v>
      </c>
      <c r="D499" s="521">
        <v>235</v>
      </c>
      <c r="E499" s="266" t="s">
        <v>753</v>
      </c>
      <c r="F499" s="522">
        <v>8.1166666666699996</v>
      </c>
      <c r="G499" s="523">
        <v>1226.125</v>
      </c>
    </row>
    <row r="500" spans="1:7" x14ac:dyDescent="0.2">
      <c r="B500" s="521">
        <v>235046</v>
      </c>
      <c r="C500" s="266" t="s">
        <v>764</v>
      </c>
      <c r="D500" s="521">
        <v>235</v>
      </c>
      <c r="E500" s="266" t="s">
        <v>753</v>
      </c>
      <c r="F500" s="522">
        <v>8.4</v>
      </c>
      <c r="G500" s="523">
        <v>930.10144927500005</v>
      </c>
    </row>
    <row r="501" spans="1:7" x14ac:dyDescent="0.2">
      <c r="B501" s="521">
        <v>235047</v>
      </c>
      <c r="C501" s="266" t="s">
        <v>765</v>
      </c>
      <c r="D501" s="521">
        <v>235</v>
      </c>
      <c r="E501" s="266" t="s">
        <v>753</v>
      </c>
      <c r="F501" s="522">
        <v>8.1750000000000007</v>
      </c>
      <c r="G501" s="523">
        <v>1020</v>
      </c>
    </row>
    <row r="502" spans="1:7" x14ac:dyDescent="0.2">
      <c r="B502" s="521">
        <v>235050</v>
      </c>
      <c r="C502" s="266" t="s">
        <v>766</v>
      </c>
      <c r="D502" s="521">
        <v>235</v>
      </c>
      <c r="E502" s="266" t="s">
        <v>753</v>
      </c>
      <c r="F502" s="522">
        <v>7.7562499999999996</v>
      </c>
      <c r="G502" s="523">
        <v>1160.38461538</v>
      </c>
    </row>
    <row r="503" spans="1:7" x14ac:dyDescent="0.2">
      <c r="B503" s="521">
        <v>235055</v>
      </c>
      <c r="C503" s="266" t="s">
        <v>767</v>
      </c>
      <c r="D503" s="521">
        <v>235</v>
      </c>
      <c r="E503" s="266" t="s">
        <v>753</v>
      </c>
      <c r="F503" s="522">
        <v>7.9749999999999996</v>
      </c>
      <c r="G503" s="523">
        <v>1142.63461538</v>
      </c>
    </row>
    <row r="504" spans="1:7" x14ac:dyDescent="0.2">
      <c r="B504" s="521">
        <v>235057</v>
      </c>
      <c r="C504" s="266" t="s">
        <v>768</v>
      </c>
      <c r="D504" s="521">
        <v>235</v>
      </c>
      <c r="E504" s="266" t="s">
        <v>753</v>
      </c>
      <c r="F504" s="522">
        <v>8.7142857142899999</v>
      </c>
      <c r="G504" s="523">
        <v>891.25</v>
      </c>
    </row>
    <row r="505" spans="1:7" x14ac:dyDescent="0.2">
      <c r="B505" s="521">
        <v>235060</v>
      </c>
      <c r="C505" s="266" t="s">
        <v>769</v>
      </c>
      <c r="D505" s="521">
        <v>235</v>
      </c>
      <c r="E505" s="266" t="s">
        <v>753</v>
      </c>
      <c r="F505" s="522">
        <v>8.5399999999999991</v>
      </c>
      <c r="G505" s="523">
        <v>958.22222222200003</v>
      </c>
    </row>
    <row r="506" spans="1:7" x14ac:dyDescent="0.2">
      <c r="B506" s="521">
        <v>235065</v>
      </c>
      <c r="C506" s="266" t="s">
        <v>770</v>
      </c>
      <c r="D506" s="521">
        <v>235</v>
      </c>
      <c r="E506" s="266" t="s">
        <v>753</v>
      </c>
      <c r="F506" s="522">
        <v>8.3842105263200004</v>
      </c>
      <c r="G506" s="523">
        <v>1112.64705882</v>
      </c>
    </row>
    <row r="507" spans="1:7" x14ac:dyDescent="0.2">
      <c r="B507" s="521">
        <v>235066</v>
      </c>
      <c r="C507" s="266" t="s">
        <v>771</v>
      </c>
      <c r="D507" s="521">
        <v>235</v>
      </c>
      <c r="E507" s="266" t="s">
        <v>753</v>
      </c>
      <c r="F507" s="522">
        <v>7.25</v>
      </c>
      <c r="G507" s="523">
        <v>1345.82539683</v>
      </c>
    </row>
    <row r="508" spans="1:7" x14ac:dyDescent="0.2">
      <c r="B508" s="521">
        <v>235067</v>
      </c>
      <c r="C508" s="266" t="s">
        <v>772</v>
      </c>
      <c r="D508" s="521">
        <v>235</v>
      </c>
      <c r="E508" s="266" t="s">
        <v>753</v>
      </c>
      <c r="F508" s="522">
        <v>8.5500000000000007</v>
      </c>
      <c r="G508" s="523">
        <v>914.6875</v>
      </c>
    </row>
    <row r="509" spans="1:7" x14ac:dyDescent="0.2">
      <c r="B509" s="521">
        <v>235073</v>
      </c>
      <c r="C509" s="266" t="s">
        <v>773</v>
      </c>
      <c r="D509" s="521">
        <v>235</v>
      </c>
      <c r="E509" s="266" t="s">
        <v>753</v>
      </c>
      <c r="F509" s="522">
        <v>8.6</v>
      </c>
      <c r="G509" s="523">
        <v>1024.44827586</v>
      </c>
    </row>
    <row r="510" spans="1:7" x14ac:dyDescent="0.2">
      <c r="A510" s="453"/>
      <c r="B510" s="521">
        <v>235079</v>
      </c>
      <c r="C510" s="266" t="s">
        <v>774</v>
      </c>
      <c r="D510" s="521">
        <v>235</v>
      </c>
      <c r="E510" s="266" t="s">
        <v>753</v>
      </c>
      <c r="F510" s="522">
        <v>7.6437499999999998</v>
      </c>
      <c r="G510" s="523">
        <v>1389.1956521699999</v>
      </c>
    </row>
    <row r="511" spans="1:7" x14ac:dyDescent="0.2">
      <c r="B511" s="521">
        <v>235080</v>
      </c>
      <c r="C511" s="266" t="s">
        <v>775</v>
      </c>
      <c r="D511" s="521">
        <v>235</v>
      </c>
      <c r="E511" s="266" t="s">
        <v>753</v>
      </c>
      <c r="F511" s="522">
        <v>8.4333333333299993</v>
      </c>
      <c r="G511" s="523">
        <v>926.44230769199999</v>
      </c>
    </row>
    <row r="512" spans="1:7" x14ac:dyDescent="0.2">
      <c r="B512" s="521">
        <v>235084</v>
      </c>
      <c r="C512" s="266" t="s">
        <v>776</v>
      </c>
      <c r="D512" s="521">
        <v>235</v>
      </c>
      <c r="E512" s="266" t="s">
        <v>753</v>
      </c>
      <c r="F512" s="522">
        <v>8.1944444444400002</v>
      </c>
      <c r="G512" s="523">
        <v>1040.46428571</v>
      </c>
    </row>
    <row r="513" spans="2:7" x14ac:dyDescent="0.2">
      <c r="B513" s="524">
        <v>235085</v>
      </c>
      <c r="C513" s="525" t="s">
        <v>777</v>
      </c>
      <c r="D513" s="524">
        <v>235</v>
      </c>
      <c r="E513" s="525" t="s">
        <v>753</v>
      </c>
      <c r="F513" s="526">
        <v>8.5294117647099998</v>
      </c>
      <c r="G513" s="527">
        <v>936.582524272</v>
      </c>
    </row>
    <row r="514" spans="2:7" x14ac:dyDescent="0.2">
      <c r="B514" s="521">
        <v>236004</v>
      </c>
      <c r="C514" s="266" t="s">
        <v>778</v>
      </c>
      <c r="D514" s="521">
        <v>236</v>
      </c>
      <c r="E514" s="266" t="s">
        <v>779</v>
      </c>
      <c r="F514" s="522">
        <v>9.3411764705899998</v>
      </c>
      <c r="G514" s="523">
        <v>1006.44444444</v>
      </c>
    </row>
    <row r="515" spans="2:7" x14ac:dyDescent="0.2">
      <c r="B515" s="521">
        <v>236011</v>
      </c>
      <c r="C515" s="266" t="s">
        <v>780</v>
      </c>
      <c r="D515" s="521">
        <v>236</v>
      </c>
      <c r="E515" s="266" t="s">
        <v>779</v>
      </c>
      <c r="F515" s="522">
        <v>9.6999999999999993</v>
      </c>
      <c r="G515" s="523">
        <v>890.54545454499998</v>
      </c>
    </row>
    <row r="516" spans="2:7" x14ac:dyDescent="0.2">
      <c r="B516" s="521">
        <v>236013</v>
      </c>
      <c r="C516" s="266" t="s">
        <v>781</v>
      </c>
      <c r="D516" s="521">
        <v>236</v>
      </c>
      <c r="E516" s="266" t="s">
        <v>779</v>
      </c>
      <c r="F516" s="522">
        <v>8.7176470588200008</v>
      </c>
      <c r="G516" s="523">
        <v>1050.14814815</v>
      </c>
    </row>
    <row r="517" spans="2:7" x14ac:dyDescent="0.2">
      <c r="B517" s="521">
        <v>236019</v>
      </c>
      <c r="C517" s="266" t="s">
        <v>782</v>
      </c>
      <c r="D517" s="521">
        <v>236</v>
      </c>
      <c r="E517" s="266" t="s">
        <v>779</v>
      </c>
      <c r="F517" s="522">
        <v>9.1142857142900002</v>
      </c>
      <c r="G517" s="523">
        <v>859.86956521699994</v>
      </c>
    </row>
    <row r="518" spans="2:7" x14ac:dyDescent="0.2">
      <c r="B518" s="521">
        <v>236025</v>
      </c>
      <c r="C518" s="266" t="s">
        <v>783</v>
      </c>
      <c r="D518" s="521">
        <v>236</v>
      </c>
      <c r="E518" s="266" t="s">
        <v>779</v>
      </c>
      <c r="F518" s="522">
        <v>9.1</v>
      </c>
      <c r="G518" s="523">
        <v>834</v>
      </c>
    </row>
    <row r="519" spans="2:7" x14ac:dyDescent="0.2">
      <c r="B519" s="521">
        <v>236028</v>
      </c>
      <c r="C519" s="266" t="s">
        <v>784</v>
      </c>
      <c r="D519" s="521">
        <v>236</v>
      </c>
      <c r="E519" s="266" t="s">
        <v>779</v>
      </c>
      <c r="F519" s="522">
        <v>9.73</v>
      </c>
      <c r="G519" s="523">
        <v>803.27659574500001</v>
      </c>
    </row>
    <row r="520" spans="2:7" x14ac:dyDescent="0.2">
      <c r="B520" s="521">
        <v>236030</v>
      </c>
      <c r="C520" s="266" t="s">
        <v>785</v>
      </c>
      <c r="D520" s="521">
        <v>236</v>
      </c>
      <c r="E520" s="266" t="s">
        <v>779</v>
      </c>
      <c r="F520" s="522">
        <v>9.4499999999999993</v>
      </c>
      <c r="G520" s="523">
        <v>914.23076923099995</v>
      </c>
    </row>
    <row r="521" spans="2:7" x14ac:dyDescent="0.2">
      <c r="B521" s="521">
        <v>236031</v>
      </c>
      <c r="C521" s="266" t="s">
        <v>786</v>
      </c>
      <c r="D521" s="521">
        <v>236</v>
      </c>
      <c r="E521" s="266" t="s">
        <v>779</v>
      </c>
      <c r="F521" s="522">
        <v>9.6166666666699996</v>
      </c>
      <c r="G521" s="523">
        <v>865.52941176499996</v>
      </c>
    </row>
    <row r="522" spans="2:7" x14ac:dyDescent="0.2">
      <c r="B522" s="521">
        <v>236033</v>
      </c>
      <c r="C522" s="266" t="s">
        <v>787</v>
      </c>
      <c r="D522" s="521">
        <v>236</v>
      </c>
      <c r="E522" s="266" t="s">
        <v>779</v>
      </c>
      <c r="F522" s="522">
        <v>9.6999999999999993</v>
      </c>
      <c r="G522" s="523">
        <v>840.97368421099998</v>
      </c>
    </row>
    <row r="523" spans="2:7" x14ac:dyDescent="0.2">
      <c r="B523" s="521">
        <v>236038</v>
      </c>
      <c r="C523" s="266" t="s">
        <v>788</v>
      </c>
      <c r="D523" s="521">
        <v>236</v>
      </c>
      <c r="E523" s="266" t="s">
        <v>779</v>
      </c>
      <c r="F523" s="522">
        <v>9.6</v>
      </c>
      <c r="G523" s="523">
        <v>838.09090909099996</v>
      </c>
    </row>
    <row r="524" spans="2:7" x14ac:dyDescent="0.2">
      <c r="B524" s="521">
        <v>236039</v>
      </c>
      <c r="C524" s="266" t="s">
        <v>789</v>
      </c>
      <c r="D524" s="521">
        <v>236</v>
      </c>
      <c r="E524" s="266" t="s">
        <v>779</v>
      </c>
      <c r="F524" s="522">
        <v>9.3333333333299997</v>
      </c>
      <c r="G524" s="523">
        <v>836.45454545500002</v>
      </c>
    </row>
    <row r="525" spans="2:7" x14ac:dyDescent="0.2">
      <c r="B525" s="521">
        <v>236040</v>
      </c>
      <c r="C525" s="266" t="s">
        <v>790</v>
      </c>
      <c r="D525" s="521">
        <v>236</v>
      </c>
      <c r="E525" s="266" t="s">
        <v>779</v>
      </c>
      <c r="F525" s="522">
        <v>9.65</v>
      </c>
      <c r="G525" s="523">
        <v>808.77272727299999</v>
      </c>
    </row>
    <row r="526" spans="2:7" x14ac:dyDescent="0.2">
      <c r="B526" s="521">
        <v>236043</v>
      </c>
      <c r="C526" s="266" t="s">
        <v>791</v>
      </c>
      <c r="D526" s="521">
        <v>236</v>
      </c>
      <c r="E526" s="266" t="s">
        <v>779</v>
      </c>
      <c r="F526" s="522">
        <v>8.5500000000000007</v>
      </c>
      <c r="G526" s="523">
        <v>1214.83333333</v>
      </c>
    </row>
    <row r="527" spans="2:7" x14ac:dyDescent="0.2">
      <c r="B527" s="521">
        <v>236044</v>
      </c>
      <c r="C527" s="266" t="s">
        <v>792</v>
      </c>
      <c r="D527" s="521">
        <v>236</v>
      </c>
      <c r="E527" s="266" t="s">
        <v>779</v>
      </c>
      <c r="F527" s="522">
        <v>8.9</v>
      </c>
      <c r="G527" s="523">
        <v>931.346938776</v>
      </c>
    </row>
    <row r="528" spans="2:7" x14ac:dyDescent="0.2">
      <c r="B528" s="521">
        <v>236046</v>
      </c>
      <c r="C528" s="266" t="s">
        <v>793</v>
      </c>
      <c r="D528" s="521">
        <v>236</v>
      </c>
      <c r="E528" s="266" t="s">
        <v>779</v>
      </c>
      <c r="F528" s="522">
        <v>9.5333333333300008</v>
      </c>
      <c r="G528" s="523">
        <v>848.44444444400006</v>
      </c>
    </row>
    <row r="529" spans="1:7" x14ac:dyDescent="0.2">
      <c r="B529" s="521">
        <v>236050</v>
      </c>
      <c r="C529" s="266" t="s">
        <v>794</v>
      </c>
      <c r="D529" s="521">
        <v>236</v>
      </c>
      <c r="E529" s="266" t="s">
        <v>779</v>
      </c>
      <c r="F529" s="522">
        <v>9.65</v>
      </c>
      <c r="G529" s="523">
        <v>815.05555555599994</v>
      </c>
    </row>
    <row r="530" spans="1:7" x14ac:dyDescent="0.2">
      <c r="B530" s="521">
        <v>236061</v>
      </c>
      <c r="C530" s="266" t="s">
        <v>795</v>
      </c>
      <c r="D530" s="521">
        <v>236</v>
      </c>
      <c r="E530" s="266" t="s">
        <v>779</v>
      </c>
      <c r="F530" s="522">
        <v>9.4888888888899992</v>
      </c>
      <c r="G530" s="523">
        <v>827.90322580600002</v>
      </c>
    </row>
    <row r="531" spans="1:7" x14ac:dyDescent="0.2">
      <c r="B531" s="521">
        <v>236062</v>
      </c>
      <c r="C531" s="266" t="s">
        <v>796</v>
      </c>
      <c r="D531" s="521">
        <v>236</v>
      </c>
      <c r="E531" s="266" t="s">
        <v>779</v>
      </c>
      <c r="F531" s="522">
        <v>9.1</v>
      </c>
      <c r="G531" s="523">
        <v>860.03225806499995</v>
      </c>
    </row>
    <row r="532" spans="1:7" x14ac:dyDescent="0.2">
      <c r="B532" s="521">
        <v>236065</v>
      </c>
      <c r="C532" s="266" t="s">
        <v>797</v>
      </c>
      <c r="D532" s="521">
        <v>236</v>
      </c>
      <c r="E532" s="266" t="s">
        <v>779</v>
      </c>
      <c r="F532" s="522">
        <v>9.5500000000000007</v>
      </c>
      <c r="G532" s="523">
        <v>811.84444444400003</v>
      </c>
    </row>
    <row r="533" spans="1:7" x14ac:dyDescent="0.2">
      <c r="B533" s="521">
        <v>236067</v>
      </c>
      <c r="C533" s="266" t="s">
        <v>798</v>
      </c>
      <c r="D533" s="521">
        <v>236</v>
      </c>
      <c r="E533" s="266" t="s">
        <v>779</v>
      </c>
      <c r="F533" s="522">
        <v>9.0625</v>
      </c>
      <c r="G533" s="523">
        <v>869.58823529400001</v>
      </c>
    </row>
    <row r="534" spans="1:7" x14ac:dyDescent="0.2">
      <c r="B534" s="521">
        <v>236068</v>
      </c>
      <c r="C534" s="266" t="s">
        <v>799</v>
      </c>
      <c r="D534" s="521">
        <v>236</v>
      </c>
      <c r="E534" s="266" t="s">
        <v>779</v>
      </c>
      <c r="F534" s="522">
        <v>9.15</v>
      </c>
      <c r="G534" s="523">
        <v>863.9</v>
      </c>
    </row>
    <row r="535" spans="1:7" x14ac:dyDescent="0.2">
      <c r="B535" s="521">
        <v>236070</v>
      </c>
      <c r="C535" s="266" t="s">
        <v>800</v>
      </c>
      <c r="D535" s="521">
        <v>236</v>
      </c>
      <c r="E535" s="266" t="s">
        <v>779</v>
      </c>
      <c r="F535" s="522">
        <v>9.85</v>
      </c>
      <c r="G535" s="523">
        <v>963.24390243899995</v>
      </c>
    </row>
    <row r="536" spans="1:7" x14ac:dyDescent="0.2">
      <c r="B536" s="521">
        <v>236071</v>
      </c>
      <c r="C536" s="266" t="s">
        <v>801</v>
      </c>
      <c r="D536" s="521">
        <v>236</v>
      </c>
      <c r="E536" s="266" t="s">
        <v>779</v>
      </c>
      <c r="F536" s="522">
        <v>10.15</v>
      </c>
      <c r="G536" s="523">
        <v>869.94594594600005</v>
      </c>
    </row>
    <row r="537" spans="1:7" x14ac:dyDescent="0.2">
      <c r="B537" s="521">
        <v>236072</v>
      </c>
      <c r="C537" s="266" t="s">
        <v>802</v>
      </c>
      <c r="D537" s="521">
        <v>236</v>
      </c>
      <c r="E537" s="266" t="s">
        <v>779</v>
      </c>
      <c r="F537" s="522">
        <v>8.9</v>
      </c>
      <c r="G537" s="523">
        <v>1242.33898305</v>
      </c>
    </row>
    <row r="538" spans="1:7" x14ac:dyDescent="0.2">
      <c r="B538" s="521">
        <v>236073</v>
      </c>
      <c r="C538" s="266" t="s">
        <v>803</v>
      </c>
      <c r="D538" s="521">
        <v>236</v>
      </c>
      <c r="E538" s="266" t="s">
        <v>779</v>
      </c>
      <c r="F538" s="522">
        <v>9.5500000000000007</v>
      </c>
      <c r="G538" s="523">
        <v>892.435897436</v>
      </c>
    </row>
    <row r="539" spans="1:7" x14ac:dyDescent="0.2">
      <c r="B539" s="521">
        <v>236074</v>
      </c>
      <c r="C539" s="266" t="s">
        <v>804</v>
      </c>
      <c r="D539" s="521">
        <v>236</v>
      </c>
      <c r="E539" s="266" t="s">
        <v>779</v>
      </c>
      <c r="F539" s="522">
        <v>9.85</v>
      </c>
      <c r="G539" s="523">
        <v>876.57142857099996</v>
      </c>
    </row>
    <row r="540" spans="1:7" x14ac:dyDescent="0.2">
      <c r="A540" s="453"/>
      <c r="B540" s="521">
        <v>236075</v>
      </c>
      <c r="C540" s="266" t="s">
        <v>805</v>
      </c>
      <c r="D540" s="521">
        <v>236</v>
      </c>
      <c r="E540" s="266" t="s">
        <v>779</v>
      </c>
      <c r="F540" s="522">
        <v>9.5857142857100008</v>
      </c>
      <c r="G540" s="523">
        <v>861.62068965499998</v>
      </c>
    </row>
    <row r="541" spans="1:7" x14ac:dyDescent="0.2">
      <c r="B541" s="524">
        <v>236076</v>
      </c>
      <c r="C541" s="525" t="s">
        <v>806</v>
      </c>
      <c r="D541" s="524">
        <v>236</v>
      </c>
      <c r="E541" s="525" t="s">
        <v>779</v>
      </c>
      <c r="F541" s="526">
        <v>9.85</v>
      </c>
      <c r="G541" s="527">
        <v>856.69387755100001</v>
      </c>
    </row>
    <row r="542" spans="1:7" x14ac:dyDescent="0.2">
      <c r="B542" s="521">
        <v>237002</v>
      </c>
      <c r="C542" s="266" t="s">
        <v>807</v>
      </c>
      <c r="D542" s="521">
        <v>237</v>
      </c>
      <c r="E542" s="266" t="s">
        <v>808</v>
      </c>
      <c r="F542" s="522">
        <v>8.1359999999999992</v>
      </c>
      <c r="G542" s="523">
        <v>1463.2989130399999</v>
      </c>
    </row>
    <row r="543" spans="1:7" x14ac:dyDescent="0.2">
      <c r="B543" s="521">
        <v>237004</v>
      </c>
      <c r="C543" s="266" t="s">
        <v>809</v>
      </c>
      <c r="D543" s="521">
        <v>237</v>
      </c>
      <c r="E543" s="266" t="s">
        <v>808</v>
      </c>
      <c r="F543" s="522">
        <v>7.2529411764700003</v>
      </c>
      <c r="G543" s="523">
        <v>1783.56016598</v>
      </c>
    </row>
    <row r="544" spans="1:7" x14ac:dyDescent="0.2">
      <c r="B544" s="521">
        <v>237019</v>
      </c>
      <c r="C544" s="266" t="s">
        <v>810</v>
      </c>
      <c r="D544" s="521">
        <v>237</v>
      </c>
      <c r="E544" s="266" t="s">
        <v>808</v>
      </c>
      <c r="F544" s="522">
        <v>7.875</v>
      </c>
      <c r="G544" s="523">
        <v>1289.4680851099999</v>
      </c>
    </row>
    <row r="545" spans="2:7" x14ac:dyDescent="0.2">
      <c r="B545" s="521">
        <v>237024</v>
      </c>
      <c r="C545" s="266" t="s">
        <v>811</v>
      </c>
      <c r="D545" s="521">
        <v>237</v>
      </c>
      <c r="E545" s="266" t="s">
        <v>808</v>
      </c>
      <c r="F545" s="522">
        <v>8.7142857142899999</v>
      </c>
      <c r="G545" s="523">
        <v>888</v>
      </c>
    </row>
    <row r="546" spans="2:7" x14ac:dyDescent="0.2">
      <c r="B546" s="521">
        <v>237027</v>
      </c>
      <c r="C546" s="266" t="s">
        <v>812</v>
      </c>
      <c r="D546" s="521">
        <v>237</v>
      </c>
      <c r="E546" s="266" t="s">
        <v>808</v>
      </c>
      <c r="F546" s="522">
        <v>8.7181818181799997</v>
      </c>
      <c r="G546" s="523">
        <v>885.37288135599999</v>
      </c>
    </row>
    <row r="547" spans="2:7" x14ac:dyDescent="0.2">
      <c r="B547" s="521">
        <v>237028</v>
      </c>
      <c r="C547" s="266" t="s">
        <v>813</v>
      </c>
      <c r="D547" s="521">
        <v>237</v>
      </c>
      <c r="E547" s="266" t="s">
        <v>808</v>
      </c>
      <c r="F547" s="522">
        <v>7.4</v>
      </c>
      <c r="G547" s="523">
        <v>1641.6136363600001</v>
      </c>
    </row>
    <row r="548" spans="2:7" x14ac:dyDescent="0.2">
      <c r="B548" s="521">
        <v>237030</v>
      </c>
      <c r="C548" s="266" t="s">
        <v>814</v>
      </c>
      <c r="D548" s="521">
        <v>237</v>
      </c>
      <c r="E548" s="266" t="s">
        <v>808</v>
      </c>
      <c r="F548" s="522">
        <v>8.25</v>
      </c>
      <c r="G548" s="523">
        <v>1264.04255319</v>
      </c>
    </row>
    <row r="549" spans="2:7" x14ac:dyDescent="0.2">
      <c r="B549" s="521">
        <v>237032</v>
      </c>
      <c r="C549" s="266" t="s">
        <v>815</v>
      </c>
      <c r="D549" s="521">
        <v>237</v>
      </c>
      <c r="E549" s="266" t="s">
        <v>808</v>
      </c>
      <c r="F549" s="522">
        <v>7.86</v>
      </c>
      <c r="G549" s="523">
        <v>1269.3793103400001</v>
      </c>
    </row>
    <row r="550" spans="2:7" x14ac:dyDescent="0.2">
      <c r="B550" s="521">
        <v>237040</v>
      </c>
      <c r="C550" s="266" t="s">
        <v>816</v>
      </c>
      <c r="D550" s="521">
        <v>237</v>
      </c>
      <c r="E550" s="266" t="s">
        <v>808</v>
      </c>
      <c r="F550" s="522">
        <v>8.4</v>
      </c>
      <c r="G550" s="523">
        <v>1027.2455089800001</v>
      </c>
    </row>
    <row r="551" spans="2:7" x14ac:dyDescent="0.2">
      <c r="B551" s="521">
        <v>237045</v>
      </c>
      <c r="C551" s="266" t="s">
        <v>817</v>
      </c>
      <c r="D551" s="521">
        <v>237</v>
      </c>
      <c r="E551" s="266" t="s">
        <v>808</v>
      </c>
      <c r="F551" s="522">
        <v>7.9210526315800003</v>
      </c>
      <c r="G551" s="523">
        <v>1436.2710280399999</v>
      </c>
    </row>
    <row r="552" spans="2:7" x14ac:dyDescent="0.2">
      <c r="B552" s="521">
        <v>237054</v>
      </c>
      <c r="C552" s="266" t="s">
        <v>818</v>
      </c>
      <c r="D552" s="521">
        <v>237</v>
      </c>
      <c r="E552" s="266" t="s">
        <v>808</v>
      </c>
      <c r="F552" s="522">
        <v>7.9</v>
      </c>
      <c r="G552" s="523">
        <v>1215.7301587300001</v>
      </c>
    </row>
    <row r="553" spans="2:7" x14ac:dyDescent="0.2">
      <c r="B553" s="521">
        <v>237061</v>
      </c>
      <c r="C553" s="266" t="s">
        <v>819</v>
      </c>
      <c r="D553" s="521">
        <v>237</v>
      </c>
      <c r="E553" s="266" t="s">
        <v>808</v>
      </c>
      <c r="F553" s="522">
        <v>8</v>
      </c>
      <c r="G553" s="523">
        <v>1213.4137931</v>
      </c>
    </row>
    <row r="554" spans="2:7" x14ac:dyDescent="0.2">
      <c r="B554" s="521">
        <v>237072</v>
      </c>
      <c r="C554" s="266" t="s">
        <v>820</v>
      </c>
      <c r="D554" s="521">
        <v>237</v>
      </c>
      <c r="E554" s="266" t="s">
        <v>808</v>
      </c>
      <c r="F554" s="522">
        <v>8.0142857142900006</v>
      </c>
      <c r="G554" s="523">
        <v>1183.2727272699999</v>
      </c>
    </row>
    <row r="555" spans="2:7" x14ac:dyDescent="0.2">
      <c r="B555" s="521">
        <v>237073</v>
      </c>
      <c r="C555" s="266" t="s">
        <v>821</v>
      </c>
      <c r="D555" s="521">
        <v>237</v>
      </c>
      <c r="E555" s="266" t="s">
        <v>808</v>
      </c>
      <c r="F555" s="522">
        <v>7.55</v>
      </c>
      <c r="G555" s="523">
        <v>1451.34722222</v>
      </c>
    </row>
    <row r="556" spans="2:7" x14ac:dyDescent="0.2">
      <c r="B556" s="521">
        <v>237074</v>
      </c>
      <c r="C556" s="266" t="s">
        <v>822</v>
      </c>
      <c r="D556" s="521">
        <v>237</v>
      </c>
      <c r="E556" s="266" t="s">
        <v>808</v>
      </c>
      <c r="F556" s="522">
        <v>7.9</v>
      </c>
      <c r="G556" s="523">
        <v>1160.6491228100001</v>
      </c>
    </row>
    <row r="557" spans="2:7" x14ac:dyDescent="0.2">
      <c r="B557" s="524">
        <v>237075</v>
      </c>
      <c r="C557" s="525" t="s">
        <v>823</v>
      </c>
      <c r="D557" s="524">
        <v>237</v>
      </c>
      <c r="E557" s="525" t="s">
        <v>808</v>
      </c>
      <c r="F557" s="526">
        <v>7.7064516128999996</v>
      </c>
      <c r="G557" s="527">
        <v>1725.30075188</v>
      </c>
    </row>
    <row r="558" spans="2:7" x14ac:dyDescent="0.2">
      <c r="B558" s="528">
        <v>311000</v>
      </c>
      <c r="C558" s="529" t="s">
        <v>824</v>
      </c>
      <c r="D558" s="528">
        <v>311</v>
      </c>
      <c r="E558" s="529" t="s">
        <v>825</v>
      </c>
      <c r="F558" s="530">
        <v>8.8755102040799994</v>
      </c>
      <c r="G558" s="531">
        <v>1026.4318181799999</v>
      </c>
    </row>
    <row r="559" spans="2:7" x14ac:dyDescent="0.2">
      <c r="B559" s="521">
        <v>315003</v>
      </c>
      <c r="C559" s="266" t="s">
        <v>826</v>
      </c>
      <c r="D559" s="521">
        <v>315</v>
      </c>
      <c r="E559" s="266" t="s">
        <v>827</v>
      </c>
      <c r="F559" s="522">
        <v>10.016666666700001</v>
      </c>
      <c r="G559" s="523">
        <v>1064.66666667</v>
      </c>
    </row>
    <row r="560" spans="2:7" x14ac:dyDescent="0.2">
      <c r="B560" s="521">
        <v>315004</v>
      </c>
      <c r="C560" s="266" t="s">
        <v>828</v>
      </c>
      <c r="D560" s="521">
        <v>315</v>
      </c>
      <c r="E560" s="266" t="s">
        <v>827</v>
      </c>
      <c r="F560" s="522">
        <v>10.311111111100001</v>
      </c>
      <c r="G560" s="523">
        <v>906.52173913000001</v>
      </c>
    </row>
    <row r="561" spans="1:7" x14ac:dyDescent="0.2">
      <c r="B561" s="521">
        <v>315006</v>
      </c>
      <c r="C561" s="266" t="s">
        <v>829</v>
      </c>
      <c r="D561" s="521">
        <v>315</v>
      </c>
      <c r="E561" s="266" t="s">
        <v>827</v>
      </c>
      <c r="F561" s="522">
        <v>10.75</v>
      </c>
      <c r="G561" s="523">
        <v>774.72916666699996</v>
      </c>
    </row>
    <row r="562" spans="1:7" x14ac:dyDescent="0.2">
      <c r="B562" s="521">
        <v>315007</v>
      </c>
      <c r="C562" s="266" t="s">
        <v>830</v>
      </c>
      <c r="D562" s="521">
        <v>315</v>
      </c>
      <c r="E562" s="266" t="s">
        <v>827</v>
      </c>
      <c r="F562" s="522">
        <v>8.6999999999999993</v>
      </c>
      <c r="G562" s="523">
        <v>1245.9285714299999</v>
      </c>
    </row>
    <row r="563" spans="1:7" x14ac:dyDescent="0.2">
      <c r="B563" s="521">
        <v>315008</v>
      </c>
      <c r="C563" s="266" t="s">
        <v>831</v>
      </c>
      <c r="D563" s="521">
        <v>315</v>
      </c>
      <c r="E563" s="266" t="s">
        <v>827</v>
      </c>
      <c r="F563" s="522">
        <v>9.6875</v>
      </c>
      <c r="G563" s="523">
        <v>1006.1</v>
      </c>
    </row>
    <row r="564" spans="1:7" x14ac:dyDescent="0.2">
      <c r="B564" s="521">
        <v>315013</v>
      </c>
      <c r="C564" s="266" t="s">
        <v>832</v>
      </c>
      <c r="D564" s="521">
        <v>315</v>
      </c>
      <c r="E564" s="266" t="s">
        <v>827</v>
      </c>
      <c r="F564" s="522">
        <v>10.4777777778</v>
      </c>
      <c r="G564" s="523">
        <v>820.8</v>
      </c>
    </row>
    <row r="565" spans="1:7" x14ac:dyDescent="0.2">
      <c r="B565" s="521">
        <v>315014</v>
      </c>
      <c r="C565" s="266" t="s">
        <v>833</v>
      </c>
      <c r="D565" s="521">
        <v>315</v>
      </c>
      <c r="E565" s="266" t="s">
        <v>827</v>
      </c>
      <c r="F565" s="522">
        <v>8.6</v>
      </c>
      <c r="G565" s="523">
        <v>1271.4102564100001</v>
      </c>
    </row>
    <row r="566" spans="1:7" x14ac:dyDescent="0.2">
      <c r="B566" s="521">
        <v>315015</v>
      </c>
      <c r="C566" s="266" t="s">
        <v>834</v>
      </c>
      <c r="D566" s="521">
        <v>315</v>
      </c>
      <c r="E566" s="266" t="s">
        <v>827</v>
      </c>
      <c r="F566" s="522">
        <v>10.15625</v>
      </c>
      <c r="G566" s="523">
        <v>773.10975609800005</v>
      </c>
    </row>
    <row r="567" spans="1:7" x14ac:dyDescent="0.2">
      <c r="B567" s="521">
        <v>315016</v>
      </c>
      <c r="C567" s="266" t="s">
        <v>835</v>
      </c>
      <c r="D567" s="521">
        <v>315</v>
      </c>
      <c r="E567" s="266" t="s">
        <v>827</v>
      </c>
      <c r="F567" s="522">
        <v>6.8</v>
      </c>
      <c r="G567" s="523">
        <v>1466.1805555599999</v>
      </c>
    </row>
    <row r="568" spans="1:7" x14ac:dyDescent="0.2">
      <c r="B568" s="521">
        <v>315020</v>
      </c>
      <c r="C568" s="266" t="s">
        <v>836</v>
      </c>
      <c r="D568" s="521">
        <v>315</v>
      </c>
      <c r="E568" s="266" t="s">
        <v>827</v>
      </c>
      <c r="F568" s="522">
        <v>7.6774193548399996</v>
      </c>
      <c r="G568" s="523">
        <v>1427.14705882</v>
      </c>
    </row>
    <row r="569" spans="1:7" x14ac:dyDescent="0.2">
      <c r="B569" s="521">
        <v>315022</v>
      </c>
      <c r="C569" s="266" t="s">
        <v>837</v>
      </c>
      <c r="D569" s="521">
        <v>315</v>
      </c>
      <c r="E569" s="266" t="s">
        <v>827</v>
      </c>
      <c r="F569" s="522">
        <v>10.65</v>
      </c>
      <c r="G569" s="523">
        <v>818.84375</v>
      </c>
    </row>
    <row r="570" spans="1:7" x14ac:dyDescent="0.2">
      <c r="A570" s="453"/>
      <c r="B570" s="521">
        <v>315028</v>
      </c>
      <c r="C570" s="266" t="s">
        <v>838</v>
      </c>
      <c r="D570" s="521">
        <v>315</v>
      </c>
      <c r="E570" s="266" t="s">
        <v>827</v>
      </c>
      <c r="F570" s="522">
        <v>10.107142857099999</v>
      </c>
      <c r="G570" s="523">
        <v>1016.73684211</v>
      </c>
    </row>
    <row r="571" spans="1:7" x14ac:dyDescent="0.2">
      <c r="B571" s="521">
        <v>315030</v>
      </c>
      <c r="C571" s="266" t="s">
        <v>839</v>
      </c>
      <c r="D571" s="521">
        <v>315</v>
      </c>
      <c r="E571" s="266" t="s">
        <v>827</v>
      </c>
      <c r="F571" s="522">
        <v>10.4857142857</v>
      </c>
      <c r="G571" s="523">
        <v>848.70588235299999</v>
      </c>
    </row>
    <row r="572" spans="1:7" x14ac:dyDescent="0.2">
      <c r="B572" s="521">
        <v>315031</v>
      </c>
      <c r="C572" s="266" t="s">
        <v>840</v>
      </c>
      <c r="D572" s="521">
        <v>315</v>
      </c>
      <c r="E572" s="266" t="s">
        <v>827</v>
      </c>
      <c r="F572" s="522">
        <v>6.0230769230799996</v>
      </c>
      <c r="G572" s="523">
        <v>1405.7450980399999</v>
      </c>
    </row>
    <row r="573" spans="1:7" x14ac:dyDescent="0.2">
      <c r="B573" s="521">
        <v>315033</v>
      </c>
      <c r="C573" s="266" t="s">
        <v>841</v>
      </c>
      <c r="D573" s="521">
        <v>315</v>
      </c>
      <c r="E573" s="266" t="s">
        <v>827</v>
      </c>
      <c r="F573" s="522">
        <v>10.75</v>
      </c>
      <c r="G573" s="523">
        <v>760.92857142900004</v>
      </c>
    </row>
    <row r="574" spans="1:7" x14ac:dyDescent="0.2">
      <c r="B574" s="521">
        <v>315037</v>
      </c>
      <c r="C574" s="266" t="s">
        <v>842</v>
      </c>
      <c r="D574" s="521">
        <v>315</v>
      </c>
      <c r="E574" s="266" t="s">
        <v>827</v>
      </c>
      <c r="F574" s="522">
        <v>5.3624999999999998</v>
      </c>
      <c r="G574" s="523">
        <v>1742.89830508</v>
      </c>
    </row>
    <row r="575" spans="1:7" x14ac:dyDescent="0.2">
      <c r="B575" s="521">
        <v>315039</v>
      </c>
      <c r="C575" s="266" t="s">
        <v>843</v>
      </c>
      <c r="D575" s="521">
        <v>315</v>
      </c>
      <c r="E575" s="266" t="s">
        <v>827</v>
      </c>
      <c r="F575" s="522">
        <v>6.6066666666699998</v>
      </c>
      <c r="G575" s="523">
        <v>1247.17777778</v>
      </c>
    </row>
    <row r="576" spans="1:7" x14ac:dyDescent="0.2">
      <c r="B576" s="521">
        <v>315041</v>
      </c>
      <c r="C576" s="266" t="s">
        <v>844</v>
      </c>
      <c r="D576" s="521">
        <v>315</v>
      </c>
      <c r="E576" s="266" t="s">
        <v>827</v>
      </c>
      <c r="F576" s="522">
        <v>8.8521739130399997</v>
      </c>
      <c r="G576" s="523">
        <v>1316.5</v>
      </c>
    </row>
    <row r="577" spans="2:7" x14ac:dyDescent="0.2">
      <c r="B577" s="521">
        <v>315043</v>
      </c>
      <c r="C577" s="266" t="s">
        <v>845</v>
      </c>
      <c r="D577" s="521">
        <v>315</v>
      </c>
      <c r="E577" s="266" t="s">
        <v>827</v>
      </c>
      <c r="F577" s="522">
        <v>10.78</v>
      </c>
      <c r="G577" s="523">
        <v>821.72727272700001</v>
      </c>
    </row>
    <row r="578" spans="2:7" x14ac:dyDescent="0.2">
      <c r="B578" s="521">
        <v>315047</v>
      </c>
      <c r="C578" s="266" t="s">
        <v>846</v>
      </c>
      <c r="D578" s="521">
        <v>315</v>
      </c>
      <c r="E578" s="266" t="s">
        <v>827</v>
      </c>
      <c r="F578" s="522">
        <v>10.19375</v>
      </c>
      <c r="G578" s="523">
        <v>1059.1600000000001</v>
      </c>
    </row>
    <row r="579" spans="2:7" x14ac:dyDescent="0.2">
      <c r="B579" s="521">
        <v>315048</v>
      </c>
      <c r="C579" s="266" t="s">
        <v>847</v>
      </c>
      <c r="D579" s="521">
        <v>315</v>
      </c>
      <c r="E579" s="266" t="s">
        <v>827</v>
      </c>
      <c r="F579" s="522">
        <v>10.85</v>
      </c>
      <c r="G579" s="523">
        <v>734.21428571399997</v>
      </c>
    </row>
    <row r="580" spans="2:7" x14ac:dyDescent="0.2">
      <c r="B580" s="521">
        <v>315050</v>
      </c>
      <c r="C580" s="266" t="s">
        <v>848</v>
      </c>
      <c r="D580" s="521">
        <v>315</v>
      </c>
      <c r="E580" s="266" t="s">
        <v>827</v>
      </c>
      <c r="F580" s="522">
        <v>10.5857142857</v>
      </c>
      <c r="G580" s="523">
        <v>791.34883720899995</v>
      </c>
    </row>
    <row r="581" spans="2:7" x14ac:dyDescent="0.2">
      <c r="B581" s="521">
        <v>315051</v>
      </c>
      <c r="C581" s="266" t="s">
        <v>849</v>
      </c>
      <c r="D581" s="521">
        <v>315</v>
      </c>
      <c r="E581" s="266" t="s">
        <v>827</v>
      </c>
      <c r="F581" s="522">
        <v>10.45</v>
      </c>
      <c r="G581" s="523">
        <v>1042.83333333</v>
      </c>
    </row>
    <row r="582" spans="2:7" x14ac:dyDescent="0.2">
      <c r="B582" s="521">
        <v>315052</v>
      </c>
      <c r="C582" s="266" t="s">
        <v>850</v>
      </c>
      <c r="D582" s="521">
        <v>315</v>
      </c>
      <c r="E582" s="266" t="s">
        <v>827</v>
      </c>
      <c r="F582" s="522">
        <v>5.9210526315800003</v>
      </c>
      <c r="G582" s="523">
        <v>1567.69230769</v>
      </c>
    </row>
    <row r="583" spans="2:7" x14ac:dyDescent="0.2">
      <c r="B583" s="521">
        <v>315056</v>
      </c>
      <c r="C583" s="266" t="s">
        <v>851</v>
      </c>
      <c r="D583" s="521">
        <v>315</v>
      </c>
      <c r="E583" s="266" t="s">
        <v>827</v>
      </c>
      <c r="F583" s="522">
        <v>8.4</v>
      </c>
      <c r="G583" s="523">
        <v>1301.58333333</v>
      </c>
    </row>
    <row r="584" spans="2:7" x14ac:dyDescent="0.2">
      <c r="B584" s="521">
        <v>315059</v>
      </c>
      <c r="C584" s="266" t="s">
        <v>852</v>
      </c>
      <c r="D584" s="521">
        <v>315</v>
      </c>
      <c r="E584" s="266" t="s">
        <v>827</v>
      </c>
      <c r="F584" s="522">
        <v>10.042857142900001</v>
      </c>
      <c r="G584" s="523">
        <v>815.51162790700005</v>
      </c>
    </row>
    <row r="585" spans="2:7" x14ac:dyDescent="0.2">
      <c r="B585" s="521">
        <v>315064</v>
      </c>
      <c r="C585" s="266" t="s">
        <v>853</v>
      </c>
      <c r="D585" s="521">
        <v>315</v>
      </c>
      <c r="E585" s="266" t="s">
        <v>827</v>
      </c>
      <c r="F585" s="522">
        <v>9.3333333333299997</v>
      </c>
      <c r="G585" s="523">
        <v>1265.17647059</v>
      </c>
    </row>
    <row r="586" spans="2:7" x14ac:dyDescent="0.2">
      <c r="B586" s="521">
        <v>315068</v>
      </c>
      <c r="C586" s="266" t="s">
        <v>854</v>
      </c>
      <c r="D586" s="521">
        <v>315</v>
      </c>
      <c r="E586" s="266" t="s">
        <v>827</v>
      </c>
      <c r="F586" s="522">
        <v>6.2458333333300002</v>
      </c>
      <c r="G586" s="523">
        <v>1425.93684211</v>
      </c>
    </row>
    <row r="587" spans="2:7" x14ac:dyDescent="0.2">
      <c r="B587" s="521">
        <v>315070</v>
      </c>
      <c r="C587" s="266" t="s">
        <v>855</v>
      </c>
      <c r="D587" s="521">
        <v>315</v>
      </c>
      <c r="E587" s="266" t="s">
        <v>827</v>
      </c>
      <c r="F587" s="522">
        <v>7.3590909090899999</v>
      </c>
      <c r="G587" s="523">
        <v>1085.1826086999999</v>
      </c>
    </row>
    <row r="588" spans="2:7" x14ac:dyDescent="0.2">
      <c r="B588" s="521">
        <v>315072</v>
      </c>
      <c r="C588" s="266" t="s">
        <v>856</v>
      </c>
      <c r="D588" s="521">
        <v>315</v>
      </c>
      <c r="E588" s="266" t="s">
        <v>827</v>
      </c>
      <c r="F588" s="522">
        <v>10.65</v>
      </c>
      <c r="G588" s="523">
        <v>818.46666666700003</v>
      </c>
    </row>
    <row r="589" spans="2:7" x14ac:dyDescent="0.2">
      <c r="B589" s="521">
        <v>315073</v>
      </c>
      <c r="C589" s="266" t="s">
        <v>857</v>
      </c>
      <c r="D589" s="521">
        <v>315</v>
      </c>
      <c r="E589" s="266" t="s">
        <v>827</v>
      </c>
      <c r="F589" s="522">
        <v>10.266666666700001</v>
      </c>
      <c r="G589" s="523">
        <v>1032.66666667</v>
      </c>
    </row>
    <row r="590" spans="2:7" x14ac:dyDescent="0.2">
      <c r="B590" s="521">
        <v>315074</v>
      </c>
      <c r="C590" s="266" t="s">
        <v>858</v>
      </c>
      <c r="D590" s="521">
        <v>315</v>
      </c>
      <c r="E590" s="266" t="s">
        <v>827</v>
      </c>
      <c r="F590" s="522">
        <v>8.4729166666700007</v>
      </c>
      <c r="G590" s="523">
        <v>1231.2391304299999</v>
      </c>
    </row>
    <row r="591" spans="2:7" x14ac:dyDescent="0.2">
      <c r="B591" s="521">
        <v>315076</v>
      </c>
      <c r="C591" s="266" t="s">
        <v>859</v>
      </c>
      <c r="D591" s="521">
        <v>315</v>
      </c>
      <c r="E591" s="266" t="s">
        <v>827</v>
      </c>
      <c r="F591" s="522">
        <v>10.4222222222</v>
      </c>
      <c r="G591" s="523">
        <v>840.60344827599999</v>
      </c>
    </row>
    <row r="592" spans="2:7" x14ac:dyDescent="0.2">
      <c r="B592" s="521">
        <v>315084</v>
      </c>
      <c r="C592" s="266" t="s">
        <v>860</v>
      </c>
      <c r="D592" s="521">
        <v>315</v>
      </c>
      <c r="E592" s="266" t="s">
        <v>827</v>
      </c>
      <c r="F592" s="522">
        <v>6.69333333333</v>
      </c>
      <c r="G592" s="523">
        <v>1673.8989899000001</v>
      </c>
    </row>
    <row r="593" spans="1:7" x14ac:dyDescent="0.2">
      <c r="B593" s="521">
        <v>315089</v>
      </c>
      <c r="C593" s="266" t="s">
        <v>861</v>
      </c>
      <c r="D593" s="521">
        <v>315</v>
      </c>
      <c r="E593" s="266" t="s">
        <v>827</v>
      </c>
      <c r="F593" s="522">
        <v>10.199999999999999</v>
      </c>
      <c r="G593" s="523">
        <v>964.125</v>
      </c>
    </row>
    <row r="594" spans="1:7" x14ac:dyDescent="0.2">
      <c r="B594" s="521">
        <v>315094</v>
      </c>
      <c r="C594" s="266" t="s">
        <v>862</v>
      </c>
      <c r="D594" s="521">
        <v>315</v>
      </c>
      <c r="E594" s="266" t="s">
        <v>827</v>
      </c>
      <c r="F594" s="522">
        <v>7.1647058823499998</v>
      </c>
      <c r="G594" s="523">
        <v>1558.3023255799999</v>
      </c>
    </row>
    <row r="595" spans="1:7" x14ac:dyDescent="0.2">
      <c r="B595" s="521">
        <v>315095</v>
      </c>
      <c r="C595" s="266" t="s">
        <v>863</v>
      </c>
      <c r="D595" s="521">
        <v>315</v>
      </c>
      <c r="E595" s="266" t="s">
        <v>827</v>
      </c>
      <c r="F595" s="522">
        <v>7.46</v>
      </c>
      <c r="G595" s="523">
        <v>1600.82258065</v>
      </c>
    </row>
    <row r="596" spans="1:7" x14ac:dyDescent="0.2">
      <c r="B596" s="521">
        <v>315098</v>
      </c>
      <c r="C596" s="266" t="s">
        <v>864</v>
      </c>
      <c r="D596" s="521">
        <v>315</v>
      </c>
      <c r="E596" s="266" t="s">
        <v>827</v>
      </c>
      <c r="F596" s="522">
        <v>10.4888888889</v>
      </c>
      <c r="G596" s="523">
        <v>845.75</v>
      </c>
    </row>
    <row r="597" spans="1:7" x14ac:dyDescent="0.2">
      <c r="B597" s="521">
        <v>315102</v>
      </c>
      <c r="C597" s="266" t="s">
        <v>865</v>
      </c>
      <c r="D597" s="521">
        <v>315</v>
      </c>
      <c r="E597" s="266" t="s">
        <v>827</v>
      </c>
      <c r="F597" s="522">
        <v>6.0718750000000004</v>
      </c>
      <c r="G597" s="523">
        <v>1637.864</v>
      </c>
    </row>
    <row r="598" spans="1:7" x14ac:dyDescent="0.2">
      <c r="B598" s="521">
        <v>315107</v>
      </c>
      <c r="C598" s="266" t="s">
        <v>866</v>
      </c>
      <c r="D598" s="521">
        <v>315</v>
      </c>
      <c r="E598" s="266" t="s">
        <v>827</v>
      </c>
      <c r="F598" s="522">
        <v>9.6999999999999993</v>
      </c>
      <c r="G598" s="523">
        <v>1098.75</v>
      </c>
    </row>
    <row r="599" spans="1:7" x14ac:dyDescent="0.2">
      <c r="B599" s="521">
        <v>315108</v>
      </c>
      <c r="C599" s="266" t="s">
        <v>867</v>
      </c>
      <c r="D599" s="521">
        <v>315</v>
      </c>
      <c r="E599" s="266" t="s">
        <v>827</v>
      </c>
      <c r="F599" s="522">
        <v>9.3782608695699992</v>
      </c>
      <c r="G599" s="523">
        <v>1061.61818182</v>
      </c>
    </row>
    <row r="600" spans="1:7" x14ac:dyDescent="0.2">
      <c r="A600" s="453"/>
      <c r="B600" s="521">
        <v>315109</v>
      </c>
      <c r="C600" s="266" t="s">
        <v>868</v>
      </c>
      <c r="D600" s="521">
        <v>315</v>
      </c>
      <c r="E600" s="266" t="s">
        <v>827</v>
      </c>
      <c r="F600" s="522">
        <v>8.9086956521699996</v>
      </c>
      <c r="G600" s="523">
        <v>1306.05263158</v>
      </c>
    </row>
    <row r="601" spans="1:7" x14ac:dyDescent="0.2">
      <c r="B601" s="521">
        <v>315111</v>
      </c>
      <c r="C601" s="266" t="s">
        <v>869</v>
      </c>
      <c r="D601" s="521">
        <v>315</v>
      </c>
      <c r="E601" s="266" t="s">
        <v>827</v>
      </c>
      <c r="F601" s="522">
        <v>9.07037037037</v>
      </c>
      <c r="G601" s="523">
        <v>1179.54347826</v>
      </c>
    </row>
    <row r="602" spans="1:7" x14ac:dyDescent="0.2">
      <c r="B602" s="521">
        <v>315113</v>
      </c>
      <c r="C602" s="266" t="s">
        <v>870</v>
      </c>
      <c r="D602" s="521">
        <v>315</v>
      </c>
      <c r="E602" s="266" t="s">
        <v>827</v>
      </c>
      <c r="F602" s="522">
        <v>6.2190476190500004</v>
      </c>
      <c r="G602" s="523">
        <v>1451.1811023600001</v>
      </c>
    </row>
    <row r="603" spans="1:7" x14ac:dyDescent="0.2">
      <c r="B603" s="521">
        <v>315115</v>
      </c>
      <c r="C603" s="266" t="s">
        <v>871</v>
      </c>
      <c r="D603" s="521">
        <v>315</v>
      </c>
      <c r="E603" s="266" t="s">
        <v>827</v>
      </c>
      <c r="F603" s="522">
        <v>11.05</v>
      </c>
      <c r="G603" s="523">
        <v>851.46153846200002</v>
      </c>
    </row>
    <row r="604" spans="1:7" x14ac:dyDescent="0.2">
      <c r="B604" s="521">
        <v>315125</v>
      </c>
      <c r="C604" s="266" t="s">
        <v>872</v>
      </c>
      <c r="D604" s="521">
        <v>315</v>
      </c>
      <c r="E604" s="266" t="s">
        <v>827</v>
      </c>
      <c r="F604" s="522">
        <v>9.3125</v>
      </c>
      <c r="G604" s="523">
        <v>1147.66666667</v>
      </c>
    </row>
    <row r="605" spans="1:7" x14ac:dyDescent="0.2">
      <c r="B605" s="521">
        <v>315130</v>
      </c>
      <c r="C605" s="266" t="s">
        <v>873</v>
      </c>
      <c r="D605" s="521">
        <v>315</v>
      </c>
      <c r="E605" s="266" t="s">
        <v>827</v>
      </c>
      <c r="F605" s="522">
        <v>7.5142857142899997</v>
      </c>
      <c r="G605" s="523">
        <v>1598.1980198000001</v>
      </c>
    </row>
    <row r="606" spans="1:7" x14ac:dyDescent="0.2">
      <c r="B606" s="521">
        <v>315131</v>
      </c>
      <c r="C606" s="266" t="s">
        <v>874</v>
      </c>
      <c r="D606" s="521">
        <v>315</v>
      </c>
      <c r="E606" s="266" t="s">
        <v>827</v>
      </c>
      <c r="F606" s="522">
        <v>9.4888888888899992</v>
      </c>
      <c r="G606" s="523">
        <v>1053.47560976</v>
      </c>
    </row>
    <row r="607" spans="1:7" x14ac:dyDescent="0.2">
      <c r="B607" s="521">
        <v>315132</v>
      </c>
      <c r="C607" s="266" t="s">
        <v>875</v>
      </c>
      <c r="D607" s="521">
        <v>315</v>
      </c>
      <c r="E607" s="266" t="s">
        <v>827</v>
      </c>
      <c r="F607" s="522">
        <v>10.95</v>
      </c>
      <c r="G607" s="523">
        <v>864.5</v>
      </c>
    </row>
    <row r="608" spans="1:7" x14ac:dyDescent="0.2">
      <c r="B608" s="524">
        <v>315133</v>
      </c>
      <c r="C608" s="525" t="s">
        <v>876</v>
      </c>
      <c r="D608" s="524">
        <v>315</v>
      </c>
      <c r="E608" s="525" t="s">
        <v>827</v>
      </c>
      <c r="F608" s="526">
        <v>10.072222222200001</v>
      </c>
      <c r="G608" s="527">
        <v>823.69230769199999</v>
      </c>
    </row>
    <row r="609" spans="2:7" x14ac:dyDescent="0.2">
      <c r="B609" s="521">
        <v>316002</v>
      </c>
      <c r="C609" s="266" t="s">
        <v>877</v>
      </c>
      <c r="D609" s="521">
        <v>316</v>
      </c>
      <c r="E609" s="266" t="s">
        <v>878</v>
      </c>
      <c r="F609" s="522">
        <v>10.4</v>
      </c>
      <c r="G609" s="523">
        <v>854.64705882400006</v>
      </c>
    </row>
    <row r="610" spans="2:7" x14ac:dyDescent="0.2">
      <c r="B610" s="521">
        <v>316003</v>
      </c>
      <c r="C610" s="266" t="s">
        <v>879</v>
      </c>
      <c r="D610" s="521">
        <v>316</v>
      </c>
      <c r="E610" s="266" t="s">
        <v>878</v>
      </c>
      <c r="F610" s="522">
        <v>8.75</v>
      </c>
      <c r="G610" s="523">
        <v>1427.28301887</v>
      </c>
    </row>
    <row r="611" spans="2:7" x14ac:dyDescent="0.2">
      <c r="B611" s="521">
        <v>316009</v>
      </c>
      <c r="C611" s="266" t="s">
        <v>880</v>
      </c>
      <c r="D611" s="521">
        <v>316</v>
      </c>
      <c r="E611" s="266" t="s">
        <v>878</v>
      </c>
      <c r="F611" s="522">
        <v>10.5875</v>
      </c>
      <c r="G611" s="523">
        <v>971.79411764700001</v>
      </c>
    </row>
    <row r="612" spans="2:7" x14ac:dyDescent="0.2">
      <c r="B612" s="521">
        <v>316010</v>
      </c>
      <c r="C612" s="266" t="s">
        <v>881</v>
      </c>
      <c r="D612" s="521">
        <v>316</v>
      </c>
      <c r="E612" s="266" t="s">
        <v>878</v>
      </c>
      <c r="F612" s="522">
        <v>8.0976744186000005</v>
      </c>
      <c r="G612" s="523">
        <v>1556.2536231900001</v>
      </c>
    </row>
    <row r="613" spans="2:7" x14ac:dyDescent="0.2">
      <c r="B613" s="521">
        <v>316011</v>
      </c>
      <c r="C613" s="266" t="s">
        <v>882</v>
      </c>
      <c r="D613" s="521">
        <v>316</v>
      </c>
      <c r="E613" s="266" t="s">
        <v>878</v>
      </c>
      <c r="F613" s="522">
        <v>10.199999999999999</v>
      </c>
      <c r="G613" s="523">
        <v>989.50819672099999</v>
      </c>
    </row>
    <row r="614" spans="2:7" x14ac:dyDescent="0.2">
      <c r="B614" s="521">
        <v>316012</v>
      </c>
      <c r="C614" s="266" t="s">
        <v>883</v>
      </c>
      <c r="D614" s="521">
        <v>316</v>
      </c>
      <c r="E614" s="266" t="s">
        <v>878</v>
      </c>
      <c r="F614" s="522">
        <v>10.1833333333</v>
      </c>
      <c r="G614" s="523">
        <v>840.17142857099998</v>
      </c>
    </row>
    <row r="615" spans="2:7" x14ac:dyDescent="0.2">
      <c r="B615" s="521">
        <v>316013</v>
      </c>
      <c r="C615" s="266" t="s">
        <v>884</v>
      </c>
      <c r="D615" s="521">
        <v>316</v>
      </c>
      <c r="E615" s="266" t="s">
        <v>878</v>
      </c>
      <c r="F615" s="522">
        <v>10.75</v>
      </c>
      <c r="G615" s="523">
        <v>785.55</v>
      </c>
    </row>
    <row r="616" spans="2:7" x14ac:dyDescent="0.2">
      <c r="B616" s="521">
        <v>316014</v>
      </c>
      <c r="C616" s="266" t="s">
        <v>885</v>
      </c>
      <c r="D616" s="521">
        <v>316</v>
      </c>
      <c r="E616" s="266" t="s">
        <v>878</v>
      </c>
      <c r="F616" s="522">
        <v>9.1576923076900005</v>
      </c>
      <c r="G616" s="523">
        <v>1351.55932203</v>
      </c>
    </row>
    <row r="617" spans="2:7" x14ac:dyDescent="0.2">
      <c r="B617" s="521">
        <v>316017</v>
      </c>
      <c r="C617" s="266" t="s">
        <v>886</v>
      </c>
      <c r="D617" s="521">
        <v>316</v>
      </c>
      <c r="E617" s="266" t="s">
        <v>878</v>
      </c>
      <c r="F617" s="522">
        <v>10.1733333333</v>
      </c>
      <c r="G617" s="523">
        <v>967.08571428599998</v>
      </c>
    </row>
    <row r="618" spans="2:7" x14ac:dyDescent="0.2">
      <c r="B618" s="521">
        <v>316020</v>
      </c>
      <c r="C618" s="266" t="s">
        <v>887</v>
      </c>
      <c r="D618" s="521">
        <v>316</v>
      </c>
      <c r="E618" s="266" t="s">
        <v>878</v>
      </c>
      <c r="F618" s="522">
        <v>9.85</v>
      </c>
      <c r="G618" s="523">
        <v>983.708737864</v>
      </c>
    </row>
    <row r="619" spans="2:7" x14ac:dyDescent="0.2">
      <c r="B619" s="521">
        <v>316024</v>
      </c>
      <c r="C619" s="266" t="s">
        <v>888</v>
      </c>
      <c r="D619" s="521">
        <v>316</v>
      </c>
      <c r="E619" s="266" t="s">
        <v>878</v>
      </c>
      <c r="F619" s="522">
        <v>10.1166666667</v>
      </c>
      <c r="G619" s="523">
        <v>996.625</v>
      </c>
    </row>
    <row r="620" spans="2:7" x14ac:dyDescent="0.2">
      <c r="B620" s="521">
        <v>316036</v>
      </c>
      <c r="C620" s="266" t="s">
        <v>889</v>
      </c>
      <c r="D620" s="521">
        <v>316</v>
      </c>
      <c r="E620" s="266" t="s">
        <v>878</v>
      </c>
      <c r="F620" s="522">
        <v>10.75</v>
      </c>
      <c r="G620" s="523">
        <v>882.71428571399997</v>
      </c>
    </row>
    <row r="621" spans="2:7" x14ac:dyDescent="0.2">
      <c r="B621" s="521">
        <v>316037</v>
      </c>
      <c r="C621" s="266" t="s">
        <v>890</v>
      </c>
      <c r="D621" s="521">
        <v>316</v>
      </c>
      <c r="E621" s="266" t="s">
        <v>878</v>
      </c>
      <c r="F621" s="522">
        <v>10.6</v>
      </c>
      <c r="G621" s="523">
        <v>827</v>
      </c>
    </row>
    <row r="622" spans="2:7" x14ac:dyDescent="0.2">
      <c r="B622" s="521">
        <v>316038</v>
      </c>
      <c r="C622" s="266" t="s">
        <v>891</v>
      </c>
      <c r="D622" s="521">
        <v>316</v>
      </c>
      <c r="E622" s="266" t="s">
        <v>878</v>
      </c>
      <c r="F622" s="522">
        <v>10.6</v>
      </c>
      <c r="G622" s="523">
        <v>755.27272727299999</v>
      </c>
    </row>
    <row r="623" spans="2:7" x14ac:dyDescent="0.2">
      <c r="B623" s="521">
        <v>316039</v>
      </c>
      <c r="C623" s="266" t="s">
        <v>892</v>
      </c>
      <c r="D623" s="521">
        <v>316</v>
      </c>
      <c r="E623" s="266" t="s">
        <v>878</v>
      </c>
      <c r="F623" s="522">
        <v>10.1</v>
      </c>
      <c r="G623" s="523">
        <v>1096.78571429</v>
      </c>
    </row>
    <row r="624" spans="2:7" x14ac:dyDescent="0.2">
      <c r="B624" s="521">
        <v>316042</v>
      </c>
      <c r="C624" s="266" t="s">
        <v>893</v>
      </c>
      <c r="D624" s="521">
        <v>316</v>
      </c>
      <c r="E624" s="266" t="s">
        <v>878</v>
      </c>
      <c r="F624" s="522">
        <v>7.5666666666699998</v>
      </c>
      <c r="G624" s="523">
        <v>1705.45390071</v>
      </c>
    </row>
    <row r="625" spans="1:7" x14ac:dyDescent="0.2">
      <c r="B625" s="521">
        <v>316043</v>
      </c>
      <c r="C625" s="266" t="s">
        <v>894</v>
      </c>
      <c r="D625" s="521">
        <v>316</v>
      </c>
      <c r="E625" s="266" t="s">
        <v>878</v>
      </c>
      <c r="F625" s="522">
        <v>10.238461538499999</v>
      </c>
      <c r="G625" s="523">
        <v>912.65671641799997</v>
      </c>
    </row>
    <row r="626" spans="1:7" x14ac:dyDescent="0.2">
      <c r="B626" s="521">
        <v>316045</v>
      </c>
      <c r="C626" s="266" t="s">
        <v>895</v>
      </c>
      <c r="D626" s="521">
        <v>316</v>
      </c>
      <c r="E626" s="266" t="s">
        <v>878</v>
      </c>
      <c r="F626" s="522">
        <v>10.95</v>
      </c>
      <c r="G626" s="523">
        <v>892.5</v>
      </c>
    </row>
    <row r="627" spans="1:7" x14ac:dyDescent="0.2">
      <c r="B627" s="521">
        <v>316049</v>
      </c>
      <c r="C627" s="266" t="s">
        <v>896</v>
      </c>
      <c r="D627" s="521">
        <v>316</v>
      </c>
      <c r="E627" s="266" t="s">
        <v>878</v>
      </c>
      <c r="F627" s="522">
        <v>10.75</v>
      </c>
      <c r="G627" s="523">
        <v>768.26086956500001</v>
      </c>
    </row>
    <row r="628" spans="1:7" x14ac:dyDescent="0.2">
      <c r="B628" s="521">
        <v>316051</v>
      </c>
      <c r="C628" s="266" t="s">
        <v>897</v>
      </c>
      <c r="D628" s="521">
        <v>316</v>
      </c>
      <c r="E628" s="266" t="s">
        <v>878</v>
      </c>
      <c r="F628" s="522">
        <v>10.75</v>
      </c>
      <c r="G628" s="523">
        <v>781.19047619000003</v>
      </c>
    </row>
    <row r="629" spans="1:7" x14ac:dyDescent="0.2">
      <c r="B629" s="521">
        <v>316053</v>
      </c>
      <c r="C629" s="266" t="s">
        <v>898</v>
      </c>
      <c r="D629" s="521">
        <v>316</v>
      </c>
      <c r="E629" s="266" t="s">
        <v>878</v>
      </c>
      <c r="F629" s="522">
        <v>10.8</v>
      </c>
      <c r="G629" s="523">
        <v>796.35294117599994</v>
      </c>
    </row>
    <row r="630" spans="1:7" x14ac:dyDescent="0.2">
      <c r="A630" s="453"/>
      <c r="B630" s="521">
        <v>316054</v>
      </c>
      <c r="C630" s="266" t="s">
        <v>899</v>
      </c>
      <c r="D630" s="521">
        <v>316</v>
      </c>
      <c r="E630" s="266" t="s">
        <v>878</v>
      </c>
      <c r="F630" s="522">
        <v>9.3523809523800008</v>
      </c>
      <c r="G630" s="523">
        <v>1210.47222222</v>
      </c>
    </row>
    <row r="631" spans="1:7" x14ac:dyDescent="0.2">
      <c r="B631" s="521">
        <v>316055</v>
      </c>
      <c r="C631" s="266" t="s">
        <v>900</v>
      </c>
      <c r="D631" s="521">
        <v>316</v>
      </c>
      <c r="E631" s="266" t="s">
        <v>878</v>
      </c>
      <c r="F631" s="522">
        <v>8.9523809523800004</v>
      </c>
      <c r="G631" s="523">
        <v>1446.4705882400001</v>
      </c>
    </row>
    <row r="632" spans="1:7" x14ac:dyDescent="0.2">
      <c r="B632" s="524">
        <v>316056</v>
      </c>
      <c r="C632" s="525" t="s">
        <v>901</v>
      </c>
      <c r="D632" s="524">
        <v>316</v>
      </c>
      <c r="E632" s="525" t="s">
        <v>878</v>
      </c>
      <c r="F632" s="526">
        <v>8.7702702702700002</v>
      </c>
      <c r="G632" s="527">
        <v>1279.07446809</v>
      </c>
    </row>
    <row r="633" spans="1:7" x14ac:dyDescent="0.2">
      <c r="B633" s="521">
        <v>317001</v>
      </c>
      <c r="C633" s="266" t="s">
        <v>902</v>
      </c>
      <c r="D633" s="521">
        <v>317</v>
      </c>
      <c r="E633" s="266" t="s">
        <v>903</v>
      </c>
      <c r="F633" s="522">
        <v>8.2866666666699995</v>
      </c>
      <c r="G633" s="523">
        <v>1332.4153846199999</v>
      </c>
    </row>
    <row r="634" spans="1:7" x14ac:dyDescent="0.2">
      <c r="B634" s="521">
        <v>317005</v>
      </c>
      <c r="C634" s="266" t="s">
        <v>904</v>
      </c>
      <c r="D634" s="521">
        <v>317</v>
      </c>
      <c r="E634" s="266" t="s">
        <v>903</v>
      </c>
      <c r="F634" s="522">
        <v>10.4555555556</v>
      </c>
      <c r="G634" s="523">
        <v>980.95</v>
      </c>
    </row>
    <row r="635" spans="1:7" x14ac:dyDescent="0.2">
      <c r="B635" s="521">
        <v>317008</v>
      </c>
      <c r="C635" s="266" t="s">
        <v>905</v>
      </c>
      <c r="D635" s="521">
        <v>317</v>
      </c>
      <c r="E635" s="266" t="s">
        <v>903</v>
      </c>
      <c r="F635" s="522">
        <v>7.8580645161299998</v>
      </c>
      <c r="G635" s="523">
        <v>1707.0370370400001</v>
      </c>
    </row>
    <row r="636" spans="1:7" x14ac:dyDescent="0.2">
      <c r="B636" s="521">
        <v>317009</v>
      </c>
      <c r="C636" s="266" t="s">
        <v>906</v>
      </c>
      <c r="D636" s="521">
        <v>317</v>
      </c>
      <c r="E636" s="266" t="s">
        <v>903</v>
      </c>
      <c r="F636" s="522">
        <v>9.8769230769200007</v>
      </c>
      <c r="G636" s="523">
        <v>1109.0999999999999</v>
      </c>
    </row>
    <row r="637" spans="1:7" x14ac:dyDescent="0.2">
      <c r="B637" s="521">
        <v>317011</v>
      </c>
      <c r="C637" s="266" t="s">
        <v>907</v>
      </c>
      <c r="D637" s="521">
        <v>317</v>
      </c>
      <c r="E637" s="266" t="s">
        <v>903</v>
      </c>
      <c r="F637" s="522">
        <v>9.5933333333299995</v>
      </c>
      <c r="G637" s="523">
        <v>1163.7027026999999</v>
      </c>
    </row>
    <row r="638" spans="1:7" x14ac:dyDescent="0.2">
      <c r="B638" s="521">
        <v>317021</v>
      </c>
      <c r="C638" s="266" t="s">
        <v>908</v>
      </c>
      <c r="D638" s="521">
        <v>317</v>
      </c>
      <c r="E638" s="266" t="s">
        <v>903</v>
      </c>
      <c r="F638" s="522">
        <v>9.4307692307700002</v>
      </c>
      <c r="G638" s="523">
        <v>1178.66666667</v>
      </c>
    </row>
    <row r="639" spans="1:7" x14ac:dyDescent="0.2">
      <c r="B639" s="521">
        <v>317026</v>
      </c>
      <c r="C639" s="266" t="s">
        <v>909</v>
      </c>
      <c r="D639" s="521">
        <v>317</v>
      </c>
      <c r="E639" s="266" t="s">
        <v>903</v>
      </c>
      <c r="F639" s="522">
        <v>9.9105263157899994</v>
      </c>
      <c r="G639" s="523">
        <v>1026.7721518999999</v>
      </c>
    </row>
    <row r="640" spans="1:7" x14ac:dyDescent="0.2">
      <c r="B640" s="521">
        <v>317029</v>
      </c>
      <c r="C640" s="266" t="s">
        <v>910</v>
      </c>
      <c r="D640" s="521">
        <v>317</v>
      </c>
      <c r="E640" s="266" t="s">
        <v>903</v>
      </c>
      <c r="F640" s="522">
        <v>8.6875</v>
      </c>
      <c r="G640" s="523">
        <v>1412.0857142899999</v>
      </c>
    </row>
    <row r="641" spans="2:7" x14ac:dyDescent="0.2">
      <c r="B641" s="521">
        <v>317031</v>
      </c>
      <c r="C641" s="266" t="s">
        <v>911</v>
      </c>
      <c r="D641" s="521">
        <v>317</v>
      </c>
      <c r="E641" s="266" t="s">
        <v>903</v>
      </c>
      <c r="F641" s="522">
        <v>9.74782608696</v>
      </c>
      <c r="G641" s="523">
        <v>983.65909090900004</v>
      </c>
    </row>
    <row r="642" spans="2:7" x14ac:dyDescent="0.2">
      <c r="B642" s="521">
        <v>317034</v>
      </c>
      <c r="C642" s="266" t="s">
        <v>912</v>
      </c>
      <c r="D642" s="521">
        <v>317</v>
      </c>
      <c r="E642" s="266" t="s">
        <v>903</v>
      </c>
      <c r="F642" s="522">
        <v>9.1068965517200002</v>
      </c>
      <c r="G642" s="523">
        <v>1218</v>
      </c>
    </row>
    <row r="643" spans="2:7" x14ac:dyDescent="0.2">
      <c r="B643" s="521">
        <v>317039</v>
      </c>
      <c r="C643" s="266" t="s">
        <v>913</v>
      </c>
      <c r="D643" s="521">
        <v>317</v>
      </c>
      <c r="E643" s="266" t="s">
        <v>903</v>
      </c>
      <c r="F643" s="522">
        <v>8.7413793103399993</v>
      </c>
      <c r="G643" s="523">
        <v>1445.56140351</v>
      </c>
    </row>
    <row r="644" spans="2:7" x14ac:dyDescent="0.2">
      <c r="B644" s="521">
        <v>317040</v>
      </c>
      <c r="C644" s="266" t="s">
        <v>914</v>
      </c>
      <c r="D644" s="521">
        <v>317</v>
      </c>
      <c r="E644" s="266" t="s">
        <v>903</v>
      </c>
      <c r="F644" s="522">
        <v>9.4</v>
      </c>
      <c r="G644" s="523">
        <v>1278.0882352900001</v>
      </c>
    </row>
    <row r="645" spans="2:7" x14ac:dyDescent="0.2">
      <c r="B645" s="521">
        <v>317041</v>
      </c>
      <c r="C645" s="266" t="s">
        <v>915</v>
      </c>
      <c r="D645" s="521">
        <v>317</v>
      </c>
      <c r="E645" s="266" t="s">
        <v>903</v>
      </c>
      <c r="F645" s="522">
        <v>8.6812500000000004</v>
      </c>
      <c r="G645" s="523">
        <v>1437.5064935099999</v>
      </c>
    </row>
    <row r="646" spans="2:7" x14ac:dyDescent="0.2">
      <c r="B646" s="521">
        <v>317046</v>
      </c>
      <c r="C646" s="266" t="s">
        <v>916</v>
      </c>
      <c r="D646" s="521">
        <v>317</v>
      </c>
      <c r="E646" s="266" t="s">
        <v>903</v>
      </c>
      <c r="F646" s="522">
        <v>9.1374999999999993</v>
      </c>
      <c r="G646" s="523">
        <v>1381.5862069</v>
      </c>
    </row>
    <row r="647" spans="2:7" x14ac:dyDescent="0.2">
      <c r="B647" s="521">
        <v>317047</v>
      </c>
      <c r="C647" s="266" t="s">
        <v>917</v>
      </c>
      <c r="D647" s="521">
        <v>317</v>
      </c>
      <c r="E647" s="266" t="s">
        <v>903</v>
      </c>
      <c r="F647" s="522">
        <v>9.8523809523800008</v>
      </c>
      <c r="G647" s="523">
        <v>983.23188405799999</v>
      </c>
    </row>
    <row r="648" spans="2:7" x14ac:dyDescent="0.2">
      <c r="B648" s="521">
        <v>317051</v>
      </c>
      <c r="C648" s="266" t="s">
        <v>918</v>
      </c>
      <c r="D648" s="521">
        <v>317</v>
      </c>
      <c r="E648" s="266" t="s">
        <v>903</v>
      </c>
      <c r="F648" s="522">
        <v>8.0225806451599997</v>
      </c>
      <c r="G648" s="523">
        <v>1518.8901098900001</v>
      </c>
    </row>
    <row r="649" spans="2:7" x14ac:dyDescent="0.2">
      <c r="B649" s="521">
        <v>317056</v>
      </c>
      <c r="C649" s="266" t="s">
        <v>919</v>
      </c>
      <c r="D649" s="521">
        <v>317</v>
      </c>
      <c r="E649" s="266" t="s">
        <v>903</v>
      </c>
      <c r="F649" s="522">
        <v>9.2040000000000006</v>
      </c>
      <c r="G649" s="523">
        <v>1362.2051282100001</v>
      </c>
    </row>
    <row r="650" spans="2:7" x14ac:dyDescent="0.2">
      <c r="B650" s="521">
        <v>317057</v>
      </c>
      <c r="C650" s="266" t="s">
        <v>920</v>
      </c>
      <c r="D650" s="521">
        <v>317</v>
      </c>
      <c r="E650" s="266" t="s">
        <v>903</v>
      </c>
      <c r="F650" s="522">
        <v>10.95</v>
      </c>
      <c r="G650" s="523">
        <v>853.01923076900005</v>
      </c>
    </row>
    <row r="651" spans="2:7" x14ac:dyDescent="0.2">
      <c r="B651" s="521">
        <v>317059</v>
      </c>
      <c r="C651" s="266" t="s">
        <v>921</v>
      </c>
      <c r="D651" s="521">
        <v>317</v>
      </c>
      <c r="E651" s="266" t="s">
        <v>903</v>
      </c>
      <c r="F651" s="522">
        <v>10.073333333300001</v>
      </c>
      <c r="G651" s="523">
        <v>938.91803278700002</v>
      </c>
    </row>
    <row r="652" spans="2:7" x14ac:dyDescent="0.2">
      <c r="B652" s="521">
        <v>317065</v>
      </c>
      <c r="C652" s="266" t="s">
        <v>922</v>
      </c>
      <c r="D652" s="521">
        <v>317</v>
      </c>
      <c r="E652" s="266" t="s">
        <v>903</v>
      </c>
      <c r="F652" s="522">
        <v>9.7458333333299993</v>
      </c>
      <c r="G652" s="523">
        <v>986.16541353399998</v>
      </c>
    </row>
    <row r="653" spans="2:7" x14ac:dyDescent="0.2">
      <c r="B653" s="521">
        <v>317067</v>
      </c>
      <c r="C653" s="266" t="s">
        <v>923</v>
      </c>
      <c r="D653" s="521">
        <v>317</v>
      </c>
      <c r="E653" s="266" t="s">
        <v>903</v>
      </c>
      <c r="F653" s="522">
        <v>8.8759999999999994</v>
      </c>
      <c r="G653" s="523">
        <v>1527.8571428600001</v>
      </c>
    </row>
    <row r="654" spans="2:7" x14ac:dyDescent="0.2">
      <c r="B654" s="521">
        <v>317068</v>
      </c>
      <c r="C654" s="266" t="s">
        <v>924</v>
      </c>
      <c r="D654" s="521">
        <v>317</v>
      </c>
      <c r="E654" s="266" t="s">
        <v>903</v>
      </c>
      <c r="F654" s="522">
        <v>9.0909090909099994</v>
      </c>
      <c r="G654" s="523">
        <v>1284.1636363600001</v>
      </c>
    </row>
    <row r="655" spans="2:7" x14ac:dyDescent="0.2">
      <c r="B655" s="521">
        <v>317073</v>
      </c>
      <c r="C655" s="266" t="s">
        <v>925</v>
      </c>
      <c r="D655" s="521">
        <v>317</v>
      </c>
      <c r="E655" s="266" t="s">
        <v>903</v>
      </c>
      <c r="F655" s="522">
        <v>9.9588235294099992</v>
      </c>
      <c r="G655" s="523">
        <v>946.62686567200001</v>
      </c>
    </row>
    <row r="656" spans="2:7" x14ac:dyDescent="0.2">
      <c r="B656" s="521">
        <v>317075</v>
      </c>
      <c r="C656" s="266" t="s">
        <v>926</v>
      </c>
      <c r="D656" s="521">
        <v>317</v>
      </c>
      <c r="E656" s="266" t="s">
        <v>903</v>
      </c>
      <c r="F656" s="522">
        <v>10.85</v>
      </c>
      <c r="G656" s="523">
        <v>786.375</v>
      </c>
    </row>
    <row r="657" spans="1:7" x14ac:dyDescent="0.2">
      <c r="B657" s="521">
        <v>317078</v>
      </c>
      <c r="C657" s="266" t="s">
        <v>927</v>
      </c>
      <c r="D657" s="521">
        <v>317</v>
      </c>
      <c r="E657" s="266" t="s">
        <v>903</v>
      </c>
      <c r="F657" s="522">
        <v>8.6590909090900006</v>
      </c>
      <c r="G657" s="523">
        <v>1488.60416667</v>
      </c>
    </row>
    <row r="658" spans="1:7" x14ac:dyDescent="0.2">
      <c r="B658" s="521">
        <v>317085</v>
      </c>
      <c r="C658" s="266" t="s">
        <v>928</v>
      </c>
      <c r="D658" s="521">
        <v>317</v>
      </c>
      <c r="E658" s="266" t="s">
        <v>903</v>
      </c>
      <c r="F658" s="522">
        <v>8.3642857142900002</v>
      </c>
      <c r="G658" s="523">
        <v>1497.96774194</v>
      </c>
    </row>
    <row r="659" spans="1:7" x14ac:dyDescent="0.2">
      <c r="B659" s="521">
        <v>317088</v>
      </c>
      <c r="C659" s="266" t="s">
        <v>929</v>
      </c>
      <c r="D659" s="521">
        <v>317</v>
      </c>
      <c r="E659" s="266" t="s">
        <v>903</v>
      </c>
      <c r="F659" s="522">
        <v>8.1343750000000004</v>
      </c>
      <c r="G659" s="523">
        <v>1569.5930232600001</v>
      </c>
    </row>
    <row r="660" spans="1:7" x14ac:dyDescent="0.2">
      <c r="A660" s="453"/>
      <c r="B660" s="521">
        <v>317089</v>
      </c>
      <c r="C660" s="266" t="s">
        <v>930</v>
      </c>
      <c r="D660" s="521">
        <v>317</v>
      </c>
      <c r="E660" s="266" t="s">
        <v>903</v>
      </c>
      <c r="F660" s="522">
        <v>9.1285714285699999</v>
      </c>
      <c r="G660" s="523">
        <v>1169.65463918</v>
      </c>
    </row>
    <row r="661" spans="1:7" x14ac:dyDescent="0.2">
      <c r="B661" s="521">
        <v>317093</v>
      </c>
      <c r="C661" s="266" t="s">
        <v>931</v>
      </c>
      <c r="D661" s="521">
        <v>317</v>
      </c>
      <c r="E661" s="266" t="s">
        <v>903</v>
      </c>
      <c r="F661" s="522">
        <v>8.3064516129000001</v>
      </c>
      <c r="G661" s="523">
        <v>1538.01030928</v>
      </c>
    </row>
    <row r="662" spans="1:7" x14ac:dyDescent="0.2">
      <c r="B662" s="521">
        <v>317096</v>
      </c>
      <c r="C662" s="266" t="s">
        <v>932</v>
      </c>
      <c r="D662" s="521">
        <v>317</v>
      </c>
      <c r="E662" s="266" t="s">
        <v>903</v>
      </c>
      <c r="F662" s="522">
        <v>9.8304347826100003</v>
      </c>
      <c r="G662" s="523">
        <v>991.23287671200001</v>
      </c>
    </row>
    <row r="663" spans="1:7" x14ac:dyDescent="0.2">
      <c r="B663" s="521">
        <v>317097</v>
      </c>
      <c r="C663" s="266" t="s">
        <v>933</v>
      </c>
      <c r="D663" s="521">
        <v>317</v>
      </c>
      <c r="E663" s="266" t="s">
        <v>903</v>
      </c>
      <c r="F663" s="522">
        <v>9.5555555555599998</v>
      </c>
      <c r="G663" s="523">
        <v>1141.2352941199999</v>
      </c>
    </row>
    <row r="664" spans="1:7" x14ac:dyDescent="0.2">
      <c r="B664" s="521">
        <v>317098</v>
      </c>
      <c r="C664" s="266" t="s">
        <v>934</v>
      </c>
      <c r="D664" s="521">
        <v>317</v>
      </c>
      <c r="E664" s="266" t="s">
        <v>903</v>
      </c>
      <c r="F664" s="522">
        <v>8.0674418604699998</v>
      </c>
      <c r="G664" s="523">
        <v>1668.33093525</v>
      </c>
    </row>
    <row r="665" spans="1:7" x14ac:dyDescent="0.2">
      <c r="B665" s="521">
        <v>317100</v>
      </c>
      <c r="C665" s="266" t="s">
        <v>935</v>
      </c>
      <c r="D665" s="521">
        <v>317</v>
      </c>
      <c r="E665" s="266" t="s">
        <v>903</v>
      </c>
      <c r="F665" s="522">
        <v>10.1</v>
      </c>
      <c r="G665" s="523">
        <v>1049.625</v>
      </c>
    </row>
    <row r="666" spans="1:7" x14ac:dyDescent="0.2">
      <c r="B666" s="521">
        <v>317102</v>
      </c>
      <c r="C666" s="266" t="s">
        <v>936</v>
      </c>
      <c r="D666" s="521">
        <v>317</v>
      </c>
      <c r="E666" s="266" t="s">
        <v>903</v>
      </c>
      <c r="F666" s="522">
        <v>8.1692307692299995</v>
      </c>
      <c r="G666" s="523">
        <v>1640.1489361700001</v>
      </c>
    </row>
    <row r="667" spans="1:7" x14ac:dyDescent="0.2">
      <c r="B667" s="521">
        <v>317110</v>
      </c>
      <c r="C667" s="266" t="s">
        <v>937</v>
      </c>
      <c r="D667" s="521">
        <v>317</v>
      </c>
      <c r="E667" s="266" t="s">
        <v>903</v>
      </c>
      <c r="F667" s="522">
        <v>10.3083333333</v>
      </c>
      <c r="G667" s="523">
        <v>1025.1333333299999</v>
      </c>
    </row>
    <row r="668" spans="1:7" x14ac:dyDescent="0.2">
      <c r="B668" s="521">
        <v>317113</v>
      </c>
      <c r="C668" s="266" t="s">
        <v>938</v>
      </c>
      <c r="D668" s="521">
        <v>317</v>
      </c>
      <c r="E668" s="266" t="s">
        <v>903</v>
      </c>
      <c r="F668" s="522">
        <v>9.9105263157899994</v>
      </c>
      <c r="G668" s="523">
        <v>1003.2537313399999</v>
      </c>
    </row>
    <row r="669" spans="1:7" x14ac:dyDescent="0.2">
      <c r="B669" s="521">
        <v>317114</v>
      </c>
      <c r="C669" s="266" t="s">
        <v>939</v>
      </c>
      <c r="D669" s="521">
        <v>317</v>
      </c>
      <c r="E669" s="266" t="s">
        <v>903</v>
      </c>
      <c r="F669" s="522">
        <v>10.85</v>
      </c>
      <c r="G669" s="523">
        <v>823.72222222200003</v>
      </c>
    </row>
    <row r="670" spans="1:7" x14ac:dyDescent="0.2">
      <c r="B670" s="521">
        <v>317116</v>
      </c>
      <c r="C670" s="266" t="s">
        <v>940</v>
      </c>
      <c r="D670" s="521">
        <v>317</v>
      </c>
      <c r="E670" s="266" t="s">
        <v>903</v>
      </c>
      <c r="F670" s="522">
        <v>8.4061224489799997</v>
      </c>
      <c r="G670" s="523">
        <v>1448.2422360200001</v>
      </c>
    </row>
    <row r="671" spans="1:7" x14ac:dyDescent="0.2">
      <c r="B671" s="521">
        <v>317118</v>
      </c>
      <c r="C671" s="266" t="s">
        <v>941</v>
      </c>
      <c r="D671" s="521">
        <v>317</v>
      </c>
      <c r="E671" s="266" t="s">
        <v>903</v>
      </c>
      <c r="F671" s="522">
        <v>8.09259259259</v>
      </c>
      <c r="G671" s="523">
        <v>1651.10526316</v>
      </c>
    </row>
    <row r="672" spans="1:7" x14ac:dyDescent="0.2">
      <c r="B672" s="521">
        <v>317121</v>
      </c>
      <c r="C672" s="266" t="s">
        <v>942</v>
      </c>
      <c r="D672" s="521">
        <v>317</v>
      </c>
      <c r="E672" s="266" t="s">
        <v>903</v>
      </c>
      <c r="F672" s="522">
        <v>9.2346153846199996</v>
      </c>
      <c r="G672" s="523">
        <v>1255.5454545499999</v>
      </c>
    </row>
    <row r="673" spans="2:7" x14ac:dyDescent="0.2">
      <c r="B673" s="521">
        <v>317122</v>
      </c>
      <c r="C673" s="266" t="s">
        <v>943</v>
      </c>
      <c r="D673" s="521">
        <v>317</v>
      </c>
      <c r="E673" s="266" t="s">
        <v>903</v>
      </c>
      <c r="F673" s="522">
        <v>10.85</v>
      </c>
      <c r="G673" s="523">
        <v>869.48484848500004</v>
      </c>
    </row>
    <row r="674" spans="2:7" x14ac:dyDescent="0.2">
      <c r="B674" s="521">
        <v>317126</v>
      </c>
      <c r="C674" s="266" t="s">
        <v>944</v>
      </c>
      <c r="D674" s="521">
        <v>317</v>
      </c>
      <c r="E674" s="266" t="s">
        <v>903</v>
      </c>
      <c r="F674" s="522">
        <v>7.4772727272699999</v>
      </c>
      <c r="G674" s="523">
        <v>1807.1333333299999</v>
      </c>
    </row>
    <row r="675" spans="2:7" x14ac:dyDescent="0.2">
      <c r="B675" s="521">
        <v>317127</v>
      </c>
      <c r="C675" s="266" t="s">
        <v>945</v>
      </c>
      <c r="D675" s="521">
        <v>317</v>
      </c>
      <c r="E675" s="266" t="s">
        <v>903</v>
      </c>
      <c r="F675" s="522">
        <v>9.7349999999999994</v>
      </c>
      <c r="G675" s="523">
        <v>1103.25</v>
      </c>
    </row>
    <row r="676" spans="2:7" x14ac:dyDescent="0.2">
      <c r="B676" s="521">
        <v>317129</v>
      </c>
      <c r="C676" s="266" t="s">
        <v>946</v>
      </c>
      <c r="D676" s="521">
        <v>317</v>
      </c>
      <c r="E676" s="266" t="s">
        <v>903</v>
      </c>
      <c r="F676" s="522">
        <v>9.4619047618999996</v>
      </c>
      <c r="G676" s="523">
        <v>1244.3599999999999</v>
      </c>
    </row>
    <row r="677" spans="2:7" x14ac:dyDescent="0.2">
      <c r="B677" s="521">
        <v>317141</v>
      </c>
      <c r="C677" s="266" t="s">
        <v>947</v>
      </c>
      <c r="D677" s="521">
        <v>317</v>
      </c>
      <c r="E677" s="266" t="s">
        <v>903</v>
      </c>
      <c r="F677" s="522">
        <v>11</v>
      </c>
      <c r="G677" s="523">
        <v>849.68478260899997</v>
      </c>
    </row>
    <row r="678" spans="2:7" x14ac:dyDescent="0.2">
      <c r="B678" s="521">
        <v>317145</v>
      </c>
      <c r="C678" s="266" t="s">
        <v>948</v>
      </c>
      <c r="D678" s="521">
        <v>317</v>
      </c>
      <c r="E678" s="266" t="s">
        <v>903</v>
      </c>
      <c r="F678" s="522">
        <v>8.3064516129000001</v>
      </c>
      <c r="G678" s="523">
        <v>1493.2244897999999</v>
      </c>
    </row>
    <row r="679" spans="2:7" x14ac:dyDescent="0.2">
      <c r="B679" s="521">
        <v>317146</v>
      </c>
      <c r="C679" s="266" t="s">
        <v>949</v>
      </c>
      <c r="D679" s="521">
        <v>317</v>
      </c>
      <c r="E679" s="266" t="s">
        <v>903</v>
      </c>
      <c r="F679" s="522">
        <v>8.8419354838699995</v>
      </c>
      <c r="G679" s="523">
        <v>1354.5942029</v>
      </c>
    </row>
    <row r="680" spans="2:7" x14ac:dyDescent="0.2">
      <c r="B680" s="521">
        <v>317150</v>
      </c>
      <c r="C680" s="266" t="s">
        <v>950</v>
      </c>
      <c r="D680" s="521">
        <v>317</v>
      </c>
      <c r="E680" s="266" t="s">
        <v>903</v>
      </c>
      <c r="F680" s="522">
        <v>10.85</v>
      </c>
      <c r="G680" s="523">
        <v>789.38636363600006</v>
      </c>
    </row>
    <row r="681" spans="2:7" x14ac:dyDescent="0.2">
      <c r="B681" s="521">
        <v>317151</v>
      </c>
      <c r="C681" s="266" t="s">
        <v>951</v>
      </c>
      <c r="D681" s="521">
        <v>317</v>
      </c>
      <c r="E681" s="266" t="s">
        <v>903</v>
      </c>
      <c r="F681" s="522">
        <v>10.95</v>
      </c>
      <c r="G681" s="523">
        <v>806.98181818199998</v>
      </c>
    </row>
    <row r="682" spans="2:7" x14ac:dyDescent="0.2">
      <c r="B682" s="521">
        <v>317152</v>
      </c>
      <c r="C682" s="266" t="s">
        <v>952</v>
      </c>
      <c r="D682" s="521">
        <v>317</v>
      </c>
      <c r="E682" s="266" t="s">
        <v>903</v>
      </c>
      <c r="F682" s="522">
        <v>9.9</v>
      </c>
      <c r="G682" s="523">
        <v>988.04444444399996</v>
      </c>
    </row>
    <row r="683" spans="2:7" x14ac:dyDescent="0.2">
      <c r="B683" s="521">
        <v>317153</v>
      </c>
      <c r="C683" s="266" t="s">
        <v>953</v>
      </c>
      <c r="D683" s="521">
        <v>317</v>
      </c>
      <c r="E683" s="266" t="s">
        <v>903</v>
      </c>
      <c r="F683" s="522">
        <v>10.8</v>
      </c>
      <c r="G683" s="523">
        <v>926.51190476199997</v>
      </c>
    </row>
    <row r="684" spans="2:7" x14ac:dyDescent="0.2">
      <c r="B684" s="524">
        <v>317971</v>
      </c>
      <c r="C684" s="525" t="s">
        <v>954</v>
      </c>
      <c r="D684" s="524">
        <v>317</v>
      </c>
      <c r="E684" s="525" t="s">
        <v>903</v>
      </c>
      <c r="F684" s="526">
        <v>10.85</v>
      </c>
      <c r="G684" s="527">
        <v>833.9</v>
      </c>
    </row>
    <row r="685" spans="2:7" x14ac:dyDescent="0.2">
      <c r="B685" s="521">
        <v>325001</v>
      </c>
      <c r="C685" s="266" t="s">
        <v>955</v>
      </c>
      <c r="D685" s="521">
        <v>325</v>
      </c>
      <c r="E685" s="266" t="s">
        <v>956</v>
      </c>
      <c r="F685" s="522">
        <v>8.1374999999999993</v>
      </c>
      <c r="G685" s="523">
        <v>1297.7678571399999</v>
      </c>
    </row>
    <row r="686" spans="2:7" x14ac:dyDescent="0.2">
      <c r="B686" s="521">
        <v>325009</v>
      </c>
      <c r="C686" s="266" t="s">
        <v>957</v>
      </c>
      <c r="D686" s="521">
        <v>325</v>
      </c>
      <c r="E686" s="266" t="s">
        <v>956</v>
      </c>
      <c r="F686" s="522">
        <v>8</v>
      </c>
      <c r="G686" s="523">
        <v>1006.91111111</v>
      </c>
    </row>
    <row r="687" spans="2:7" x14ac:dyDescent="0.2">
      <c r="B687" s="521">
        <v>325011</v>
      </c>
      <c r="C687" s="266" t="s">
        <v>958</v>
      </c>
      <c r="D687" s="521">
        <v>325</v>
      </c>
      <c r="E687" s="266" t="s">
        <v>956</v>
      </c>
      <c r="F687" s="522">
        <v>7.95</v>
      </c>
      <c r="G687" s="523">
        <v>922.56896551700004</v>
      </c>
    </row>
    <row r="688" spans="2:7" x14ac:dyDescent="0.2">
      <c r="B688" s="521">
        <v>325012</v>
      </c>
      <c r="C688" s="266" t="s">
        <v>959</v>
      </c>
      <c r="D688" s="521">
        <v>325</v>
      </c>
      <c r="E688" s="266" t="s">
        <v>956</v>
      </c>
      <c r="F688" s="522">
        <v>8.2076923076899995</v>
      </c>
      <c r="G688" s="523">
        <v>1221.86075949</v>
      </c>
    </row>
    <row r="689" spans="1:7" x14ac:dyDescent="0.2">
      <c r="B689" s="521">
        <v>325014</v>
      </c>
      <c r="C689" s="266" t="s">
        <v>960</v>
      </c>
      <c r="D689" s="521">
        <v>325</v>
      </c>
      <c r="E689" s="266" t="s">
        <v>956</v>
      </c>
      <c r="F689" s="522">
        <v>7.6</v>
      </c>
      <c r="G689" s="523">
        <v>1037.4615384599999</v>
      </c>
    </row>
    <row r="690" spans="1:7" x14ac:dyDescent="0.2">
      <c r="A690" s="453"/>
      <c r="B690" s="521">
        <v>325015</v>
      </c>
      <c r="C690" s="266" t="s">
        <v>961</v>
      </c>
      <c r="D690" s="521">
        <v>325</v>
      </c>
      <c r="E690" s="266" t="s">
        <v>956</v>
      </c>
      <c r="F690" s="522">
        <v>7.9923076923099998</v>
      </c>
      <c r="G690" s="523">
        <v>967.58064516100001</v>
      </c>
    </row>
    <row r="691" spans="1:7" x14ac:dyDescent="0.2">
      <c r="B691" s="521">
        <v>325024</v>
      </c>
      <c r="C691" s="266" t="s">
        <v>962</v>
      </c>
      <c r="D691" s="521">
        <v>325</v>
      </c>
      <c r="E691" s="266" t="s">
        <v>956</v>
      </c>
      <c r="F691" s="522">
        <v>7.15</v>
      </c>
      <c r="G691" s="523">
        <v>1090.4000000000001</v>
      </c>
    </row>
    <row r="692" spans="1:7" x14ac:dyDescent="0.2">
      <c r="B692" s="521">
        <v>325036</v>
      </c>
      <c r="C692" s="266" t="s">
        <v>963</v>
      </c>
      <c r="D692" s="521">
        <v>325</v>
      </c>
      <c r="E692" s="266" t="s">
        <v>956</v>
      </c>
      <c r="F692" s="522">
        <v>7.7352941176499996</v>
      </c>
      <c r="G692" s="523">
        <v>1428.14705882</v>
      </c>
    </row>
    <row r="693" spans="1:7" x14ac:dyDescent="0.2">
      <c r="B693" s="521">
        <v>325045</v>
      </c>
      <c r="C693" s="266" t="s">
        <v>964</v>
      </c>
      <c r="D693" s="521">
        <v>325</v>
      </c>
      <c r="E693" s="266" t="s">
        <v>956</v>
      </c>
      <c r="F693" s="522">
        <v>7.95</v>
      </c>
      <c r="G693" s="523">
        <v>1061.5061728400001</v>
      </c>
    </row>
    <row r="694" spans="1:7" x14ac:dyDescent="0.2">
      <c r="B694" s="521">
        <v>325049</v>
      </c>
      <c r="C694" s="266" t="s">
        <v>965</v>
      </c>
      <c r="D694" s="521">
        <v>325</v>
      </c>
      <c r="E694" s="266" t="s">
        <v>956</v>
      </c>
      <c r="F694" s="522">
        <v>7.7214285714299997</v>
      </c>
      <c r="G694" s="523">
        <v>903.24806201599995</v>
      </c>
    </row>
    <row r="695" spans="1:7" x14ac:dyDescent="0.2">
      <c r="B695" s="521">
        <v>325050</v>
      </c>
      <c r="C695" s="266" t="s">
        <v>966</v>
      </c>
      <c r="D695" s="521">
        <v>325</v>
      </c>
      <c r="E695" s="266" t="s">
        <v>956</v>
      </c>
      <c r="F695" s="522">
        <v>8.1999999999999993</v>
      </c>
      <c r="G695" s="523">
        <v>1483.97647059</v>
      </c>
    </row>
    <row r="696" spans="1:7" x14ac:dyDescent="0.2">
      <c r="B696" s="521">
        <v>325051</v>
      </c>
      <c r="C696" s="266" t="s">
        <v>967</v>
      </c>
      <c r="D696" s="521">
        <v>325</v>
      </c>
      <c r="E696" s="266" t="s">
        <v>956</v>
      </c>
      <c r="F696" s="522">
        <v>8.2370370370400003</v>
      </c>
      <c r="G696" s="523">
        <v>1435.4464285700001</v>
      </c>
    </row>
    <row r="697" spans="1:7" x14ac:dyDescent="0.2">
      <c r="B697" s="521">
        <v>325053</v>
      </c>
      <c r="C697" s="266" t="s">
        <v>968</v>
      </c>
      <c r="D697" s="521">
        <v>325</v>
      </c>
      <c r="E697" s="266" t="s">
        <v>956</v>
      </c>
      <c r="F697" s="522">
        <v>7.7370370370400003</v>
      </c>
      <c r="G697" s="523">
        <v>1241.53588517</v>
      </c>
    </row>
    <row r="698" spans="1:7" x14ac:dyDescent="0.2">
      <c r="B698" s="521">
        <v>325057</v>
      </c>
      <c r="C698" s="266" t="s">
        <v>969</v>
      </c>
      <c r="D698" s="521">
        <v>325</v>
      </c>
      <c r="E698" s="266" t="s">
        <v>956</v>
      </c>
      <c r="F698" s="522">
        <v>8.35</v>
      </c>
      <c r="G698" s="523">
        <v>1006.58778626</v>
      </c>
    </row>
    <row r="699" spans="1:7" x14ac:dyDescent="0.2">
      <c r="B699" s="521">
        <v>325060</v>
      </c>
      <c r="C699" s="266" t="s">
        <v>970</v>
      </c>
      <c r="D699" s="521">
        <v>325</v>
      </c>
      <c r="E699" s="266" t="s">
        <v>956</v>
      </c>
      <c r="F699" s="522">
        <v>7.7285714285699996</v>
      </c>
      <c r="G699" s="523">
        <v>953.5</v>
      </c>
    </row>
    <row r="700" spans="1:7" x14ac:dyDescent="0.2">
      <c r="B700" s="521">
        <v>325061</v>
      </c>
      <c r="C700" s="266" t="s">
        <v>971</v>
      </c>
      <c r="D700" s="521">
        <v>325</v>
      </c>
      <c r="E700" s="266" t="s">
        <v>956</v>
      </c>
      <c r="F700" s="522">
        <v>8.1727272727300004</v>
      </c>
      <c r="G700" s="523">
        <v>975.63636363600006</v>
      </c>
    </row>
    <row r="701" spans="1:7" x14ac:dyDescent="0.2">
      <c r="B701" s="521">
        <v>325064</v>
      </c>
      <c r="C701" s="266" t="s">
        <v>972</v>
      </c>
      <c r="D701" s="521">
        <v>325</v>
      </c>
      <c r="E701" s="266" t="s">
        <v>956</v>
      </c>
      <c r="F701" s="522">
        <v>7.6454545454499998</v>
      </c>
      <c r="G701" s="523">
        <v>918</v>
      </c>
    </row>
    <row r="702" spans="1:7" x14ac:dyDescent="0.2">
      <c r="B702" s="521">
        <v>325069</v>
      </c>
      <c r="C702" s="266" t="s">
        <v>973</v>
      </c>
      <c r="D702" s="521">
        <v>325</v>
      </c>
      <c r="E702" s="266" t="s">
        <v>956</v>
      </c>
      <c r="F702" s="522">
        <v>7.75</v>
      </c>
      <c r="G702" s="523">
        <v>921.22222222200003</v>
      </c>
    </row>
    <row r="703" spans="1:7" x14ac:dyDescent="0.2">
      <c r="B703" s="521">
        <v>325070</v>
      </c>
      <c r="C703" s="266" t="s">
        <v>974</v>
      </c>
      <c r="D703" s="521">
        <v>325</v>
      </c>
      <c r="E703" s="266" t="s">
        <v>956</v>
      </c>
      <c r="F703" s="522">
        <v>7.8142857142900004</v>
      </c>
      <c r="G703" s="523">
        <v>1197.51282051</v>
      </c>
    </row>
    <row r="704" spans="1:7" x14ac:dyDescent="0.2">
      <c r="B704" s="521">
        <v>325071</v>
      </c>
      <c r="C704" s="266" t="s">
        <v>975</v>
      </c>
      <c r="D704" s="521">
        <v>325</v>
      </c>
      <c r="E704" s="266" t="s">
        <v>956</v>
      </c>
      <c r="F704" s="522">
        <v>7.45</v>
      </c>
      <c r="G704" s="523">
        <v>1012.66666667</v>
      </c>
    </row>
    <row r="705" spans="1:7" x14ac:dyDescent="0.2">
      <c r="B705" s="524">
        <v>325072</v>
      </c>
      <c r="C705" s="525" t="s">
        <v>976</v>
      </c>
      <c r="D705" s="524">
        <v>325</v>
      </c>
      <c r="E705" s="525" t="s">
        <v>956</v>
      </c>
      <c r="F705" s="526">
        <v>7.85</v>
      </c>
      <c r="G705" s="527">
        <v>869.31481481499998</v>
      </c>
    </row>
    <row r="706" spans="1:7" x14ac:dyDescent="0.2">
      <c r="B706" s="521">
        <v>326003</v>
      </c>
      <c r="C706" s="266" t="s">
        <v>977</v>
      </c>
      <c r="D706" s="521">
        <v>326</v>
      </c>
      <c r="E706" s="266" t="s">
        <v>978</v>
      </c>
      <c r="F706" s="522">
        <v>7.2</v>
      </c>
      <c r="G706" s="523">
        <v>892.61855670099999</v>
      </c>
    </row>
    <row r="707" spans="1:7" x14ac:dyDescent="0.2">
      <c r="B707" s="521">
        <v>326005</v>
      </c>
      <c r="C707" s="266" t="s">
        <v>979</v>
      </c>
      <c r="D707" s="521">
        <v>326</v>
      </c>
      <c r="E707" s="266" t="s">
        <v>978</v>
      </c>
      <c r="F707" s="522">
        <v>7.6541666666700001</v>
      </c>
      <c r="G707" s="523">
        <v>965.99099099099999</v>
      </c>
    </row>
    <row r="708" spans="1:7" x14ac:dyDescent="0.2">
      <c r="B708" s="521">
        <v>326006</v>
      </c>
      <c r="C708" s="266" t="s">
        <v>980</v>
      </c>
      <c r="D708" s="521">
        <v>326</v>
      </c>
      <c r="E708" s="266" t="s">
        <v>978</v>
      </c>
      <c r="F708" s="522">
        <v>6.7545454545499997</v>
      </c>
      <c r="G708" s="523">
        <v>1120.5515151499999</v>
      </c>
    </row>
    <row r="709" spans="1:7" x14ac:dyDescent="0.2">
      <c r="B709" s="521">
        <v>326010</v>
      </c>
      <c r="C709" s="266" t="s">
        <v>981</v>
      </c>
      <c r="D709" s="521">
        <v>326</v>
      </c>
      <c r="E709" s="266" t="s">
        <v>978</v>
      </c>
      <c r="F709" s="522">
        <v>7.625</v>
      </c>
      <c r="G709" s="523">
        <v>892.20833333300004</v>
      </c>
    </row>
    <row r="710" spans="1:7" x14ac:dyDescent="0.2">
      <c r="B710" s="521">
        <v>326012</v>
      </c>
      <c r="C710" s="266" t="s">
        <v>982</v>
      </c>
      <c r="D710" s="521">
        <v>326</v>
      </c>
      <c r="E710" s="266" t="s">
        <v>978</v>
      </c>
      <c r="F710" s="522">
        <v>6.8</v>
      </c>
      <c r="G710" s="523">
        <v>1017.58139535</v>
      </c>
    </row>
    <row r="711" spans="1:7" x14ac:dyDescent="0.2">
      <c r="B711" s="521">
        <v>326017</v>
      </c>
      <c r="C711" s="266" t="s">
        <v>983</v>
      </c>
      <c r="D711" s="521">
        <v>326</v>
      </c>
      <c r="E711" s="266" t="s">
        <v>978</v>
      </c>
      <c r="F711" s="522">
        <v>6.6050000000000004</v>
      </c>
      <c r="G711" s="523">
        <v>1691.6086956500001</v>
      </c>
    </row>
    <row r="712" spans="1:7" x14ac:dyDescent="0.2">
      <c r="B712" s="521">
        <v>326020</v>
      </c>
      <c r="C712" s="266" t="s">
        <v>984</v>
      </c>
      <c r="D712" s="521">
        <v>326</v>
      </c>
      <c r="E712" s="266" t="s">
        <v>978</v>
      </c>
      <c r="F712" s="522">
        <v>7.3105263157899998</v>
      </c>
      <c r="G712" s="523">
        <v>1678.23684211</v>
      </c>
    </row>
    <row r="713" spans="1:7" x14ac:dyDescent="0.2">
      <c r="B713" s="521">
        <v>326027</v>
      </c>
      <c r="C713" s="266" t="s">
        <v>985</v>
      </c>
      <c r="D713" s="521">
        <v>326</v>
      </c>
      <c r="E713" s="266" t="s">
        <v>978</v>
      </c>
      <c r="F713" s="522">
        <v>7.3826086956500001</v>
      </c>
      <c r="G713" s="523">
        <v>979.23033707900004</v>
      </c>
    </row>
    <row r="714" spans="1:7" x14ac:dyDescent="0.2">
      <c r="B714" s="521">
        <v>326031</v>
      </c>
      <c r="C714" s="266" t="s">
        <v>986</v>
      </c>
      <c r="D714" s="521">
        <v>326</v>
      </c>
      <c r="E714" s="266" t="s">
        <v>978</v>
      </c>
      <c r="F714" s="522">
        <v>7.25</v>
      </c>
      <c r="G714" s="523">
        <v>1106.375</v>
      </c>
    </row>
    <row r="715" spans="1:7" x14ac:dyDescent="0.2">
      <c r="B715" s="521">
        <v>326037</v>
      </c>
      <c r="C715" s="266" t="s">
        <v>987</v>
      </c>
      <c r="D715" s="521">
        <v>326</v>
      </c>
      <c r="E715" s="266" t="s">
        <v>978</v>
      </c>
      <c r="F715" s="522">
        <v>7.2</v>
      </c>
      <c r="G715" s="523">
        <v>1081.9130434799999</v>
      </c>
    </row>
    <row r="716" spans="1:7" x14ac:dyDescent="0.2">
      <c r="B716" s="521">
        <v>326041</v>
      </c>
      <c r="C716" s="266" t="s">
        <v>988</v>
      </c>
      <c r="D716" s="521">
        <v>326</v>
      </c>
      <c r="E716" s="266" t="s">
        <v>978</v>
      </c>
      <c r="F716" s="522">
        <v>7.65</v>
      </c>
      <c r="G716" s="523">
        <v>937.91111111099997</v>
      </c>
    </row>
    <row r="717" spans="1:7" x14ac:dyDescent="0.2">
      <c r="B717" s="521">
        <v>326052</v>
      </c>
      <c r="C717" s="266" t="s">
        <v>989</v>
      </c>
      <c r="D717" s="521">
        <v>326</v>
      </c>
      <c r="E717" s="266" t="s">
        <v>978</v>
      </c>
      <c r="F717" s="522">
        <v>6.85</v>
      </c>
      <c r="G717" s="523">
        <v>1392.8351648400001</v>
      </c>
    </row>
    <row r="718" spans="1:7" x14ac:dyDescent="0.2">
      <c r="B718" s="521">
        <v>326054</v>
      </c>
      <c r="C718" s="266" t="s">
        <v>990</v>
      </c>
      <c r="D718" s="521">
        <v>326</v>
      </c>
      <c r="E718" s="266" t="s">
        <v>978</v>
      </c>
      <c r="F718" s="522">
        <v>6.2666666666699999</v>
      </c>
      <c r="G718" s="523">
        <v>1848.1224489799999</v>
      </c>
    </row>
    <row r="719" spans="1:7" x14ac:dyDescent="0.2">
      <c r="B719" s="521">
        <v>326055</v>
      </c>
      <c r="C719" s="266" t="s">
        <v>991</v>
      </c>
      <c r="D719" s="521">
        <v>326</v>
      </c>
      <c r="E719" s="266" t="s">
        <v>978</v>
      </c>
      <c r="F719" s="522">
        <v>7.1192307692299996</v>
      </c>
      <c r="G719" s="523">
        <v>1747.2096774199999</v>
      </c>
    </row>
    <row r="720" spans="1:7" x14ac:dyDescent="0.2">
      <c r="A720" s="453"/>
      <c r="B720" s="521">
        <v>326060</v>
      </c>
      <c r="C720" s="266" t="s">
        <v>992</v>
      </c>
      <c r="D720" s="521">
        <v>326</v>
      </c>
      <c r="E720" s="266" t="s">
        <v>978</v>
      </c>
      <c r="F720" s="522">
        <v>7.3045454545500004</v>
      </c>
      <c r="G720" s="523">
        <v>1645.9076923099999</v>
      </c>
    </row>
    <row r="721" spans="2:7" x14ac:dyDescent="0.2">
      <c r="B721" s="521">
        <v>326061</v>
      </c>
      <c r="C721" s="266" t="s">
        <v>993</v>
      </c>
      <c r="D721" s="521">
        <v>326</v>
      </c>
      <c r="E721" s="266" t="s">
        <v>978</v>
      </c>
      <c r="F721" s="522">
        <v>7.35</v>
      </c>
      <c r="G721" s="523">
        <v>916.13043478300006</v>
      </c>
    </row>
    <row r="722" spans="2:7" x14ac:dyDescent="0.2">
      <c r="B722" s="521">
        <v>326065</v>
      </c>
      <c r="C722" s="266" t="s">
        <v>994</v>
      </c>
      <c r="D722" s="521">
        <v>326</v>
      </c>
      <c r="E722" s="266" t="s">
        <v>978</v>
      </c>
      <c r="F722" s="522">
        <v>6.7416666666699996</v>
      </c>
      <c r="G722" s="523">
        <v>1301.55769231</v>
      </c>
    </row>
    <row r="723" spans="2:7" x14ac:dyDescent="0.2">
      <c r="B723" s="521">
        <v>326068</v>
      </c>
      <c r="C723" s="266" t="s">
        <v>995</v>
      </c>
      <c r="D723" s="521">
        <v>326</v>
      </c>
      <c r="E723" s="266" t="s">
        <v>978</v>
      </c>
      <c r="F723" s="522">
        <v>6.3047619047600003</v>
      </c>
      <c r="G723" s="523">
        <v>1500.35862069</v>
      </c>
    </row>
    <row r="724" spans="2:7" x14ac:dyDescent="0.2">
      <c r="B724" s="521">
        <v>326074</v>
      </c>
      <c r="C724" s="266" t="s">
        <v>996</v>
      </c>
      <c r="D724" s="521">
        <v>326</v>
      </c>
      <c r="E724" s="266" t="s">
        <v>978</v>
      </c>
      <c r="F724" s="522">
        <v>7.05</v>
      </c>
      <c r="G724" s="523">
        <v>1066.63703704</v>
      </c>
    </row>
    <row r="725" spans="2:7" x14ac:dyDescent="0.2">
      <c r="B725" s="524">
        <v>326075</v>
      </c>
      <c r="C725" s="525" t="s">
        <v>997</v>
      </c>
      <c r="D725" s="524">
        <v>326</v>
      </c>
      <c r="E725" s="525" t="s">
        <v>978</v>
      </c>
      <c r="F725" s="526">
        <v>7.35</v>
      </c>
      <c r="G725" s="527">
        <v>921.58064516100001</v>
      </c>
    </row>
    <row r="726" spans="2:7" x14ac:dyDescent="0.2">
      <c r="B726" s="521">
        <v>327002</v>
      </c>
      <c r="C726" s="266" t="s">
        <v>998</v>
      </c>
      <c r="D726" s="521">
        <v>327</v>
      </c>
      <c r="E726" s="266" t="s">
        <v>999</v>
      </c>
      <c r="F726" s="522">
        <v>7.95</v>
      </c>
      <c r="G726" s="523">
        <v>866.12195122000003</v>
      </c>
    </row>
    <row r="727" spans="2:7" x14ac:dyDescent="0.2">
      <c r="B727" s="521">
        <v>327004</v>
      </c>
      <c r="C727" s="266" t="s">
        <v>1000</v>
      </c>
      <c r="D727" s="521">
        <v>327</v>
      </c>
      <c r="E727" s="266" t="s">
        <v>999</v>
      </c>
      <c r="F727" s="522">
        <v>7.17</v>
      </c>
      <c r="G727" s="523">
        <v>995.047619048</v>
      </c>
    </row>
    <row r="728" spans="2:7" x14ac:dyDescent="0.2">
      <c r="B728" s="521">
        <v>327005</v>
      </c>
      <c r="C728" s="266" t="s">
        <v>1001</v>
      </c>
      <c r="D728" s="521">
        <v>327</v>
      </c>
      <c r="E728" s="266" t="s">
        <v>999</v>
      </c>
      <c r="F728" s="522">
        <v>7.5222222222199999</v>
      </c>
      <c r="G728" s="523">
        <v>951</v>
      </c>
    </row>
    <row r="729" spans="2:7" x14ac:dyDescent="0.2">
      <c r="B729" s="521">
        <v>327006</v>
      </c>
      <c r="C729" s="266" t="s">
        <v>1002</v>
      </c>
      <c r="D729" s="521">
        <v>327</v>
      </c>
      <c r="E729" s="266" t="s">
        <v>999</v>
      </c>
      <c r="F729" s="522">
        <v>7.05</v>
      </c>
      <c r="G729" s="523">
        <v>1014.20833333</v>
      </c>
    </row>
    <row r="730" spans="2:7" x14ac:dyDescent="0.2">
      <c r="B730" s="521">
        <v>327007</v>
      </c>
      <c r="C730" s="266" t="s">
        <v>1003</v>
      </c>
      <c r="D730" s="521">
        <v>327</v>
      </c>
      <c r="E730" s="266" t="s">
        <v>999</v>
      </c>
      <c r="F730" s="522">
        <v>6.7833333333299999</v>
      </c>
      <c r="G730" s="523">
        <v>1032.5</v>
      </c>
    </row>
    <row r="731" spans="2:7" x14ac:dyDescent="0.2">
      <c r="B731" s="521">
        <v>327008</v>
      </c>
      <c r="C731" s="266" t="s">
        <v>1004</v>
      </c>
      <c r="D731" s="521">
        <v>327</v>
      </c>
      <c r="E731" s="266" t="s">
        <v>999</v>
      </c>
      <c r="F731" s="522">
        <v>7.5222222222199999</v>
      </c>
      <c r="G731" s="523">
        <v>935.5625</v>
      </c>
    </row>
    <row r="732" spans="2:7" x14ac:dyDescent="0.2">
      <c r="B732" s="521">
        <v>327009</v>
      </c>
      <c r="C732" s="266" t="s">
        <v>1005</v>
      </c>
      <c r="D732" s="521">
        <v>327</v>
      </c>
      <c r="E732" s="266" t="s">
        <v>999</v>
      </c>
      <c r="F732" s="522">
        <v>6.8250000000000002</v>
      </c>
      <c r="G732" s="523">
        <v>1065.8499999999999</v>
      </c>
    </row>
    <row r="733" spans="2:7" x14ac:dyDescent="0.2">
      <c r="B733" s="521">
        <v>327010</v>
      </c>
      <c r="C733" s="266" t="s">
        <v>1006</v>
      </c>
      <c r="D733" s="521">
        <v>327</v>
      </c>
      <c r="E733" s="266" t="s">
        <v>999</v>
      </c>
      <c r="F733" s="522">
        <v>7.5785714285700001</v>
      </c>
      <c r="G733" s="523">
        <v>857.89655172400001</v>
      </c>
    </row>
    <row r="734" spans="2:7" x14ac:dyDescent="0.2">
      <c r="B734" s="521">
        <v>327011</v>
      </c>
      <c r="C734" s="266" t="s">
        <v>1007</v>
      </c>
      <c r="D734" s="521">
        <v>327</v>
      </c>
      <c r="E734" s="266" t="s">
        <v>999</v>
      </c>
      <c r="F734" s="522">
        <v>7.3624999999999998</v>
      </c>
      <c r="G734" s="523">
        <v>989.95</v>
      </c>
    </row>
    <row r="735" spans="2:7" x14ac:dyDescent="0.2">
      <c r="B735" s="521">
        <v>327012</v>
      </c>
      <c r="C735" s="266" t="s">
        <v>1008</v>
      </c>
      <c r="D735" s="521">
        <v>327</v>
      </c>
      <c r="E735" s="266" t="s">
        <v>999</v>
      </c>
      <c r="F735" s="522">
        <v>7.6</v>
      </c>
      <c r="G735" s="523">
        <v>965</v>
      </c>
    </row>
    <row r="736" spans="2:7" x14ac:dyDescent="0.2">
      <c r="B736" s="521">
        <v>327013</v>
      </c>
      <c r="C736" s="266" t="s">
        <v>1009</v>
      </c>
      <c r="D736" s="521">
        <v>327</v>
      </c>
      <c r="E736" s="266" t="s">
        <v>999</v>
      </c>
      <c r="F736" s="522">
        <v>7.2249999999999996</v>
      </c>
      <c r="G736" s="523">
        <v>975.92857142900004</v>
      </c>
    </row>
    <row r="737" spans="1:7" x14ac:dyDescent="0.2">
      <c r="B737" s="521">
        <v>327016</v>
      </c>
      <c r="C737" s="266" t="s">
        <v>1010</v>
      </c>
      <c r="D737" s="521">
        <v>327</v>
      </c>
      <c r="E737" s="266" t="s">
        <v>999</v>
      </c>
      <c r="F737" s="522">
        <v>7.6272727272700003</v>
      </c>
      <c r="G737" s="523">
        <v>919.07500000000005</v>
      </c>
    </row>
    <row r="738" spans="1:7" x14ac:dyDescent="0.2">
      <c r="B738" s="521">
        <v>327017</v>
      </c>
      <c r="C738" s="266" t="s">
        <v>1011</v>
      </c>
      <c r="D738" s="521">
        <v>327</v>
      </c>
      <c r="E738" s="266" t="s">
        <v>999</v>
      </c>
      <c r="F738" s="522">
        <v>8.0124999999999993</v>
      </c>
      <c r="G738" s="523">
        <v>821.33333333300004</v>
      </c>
    </row>
    <row r="739" spans="1:7" x14ac:dyDescent="0.2">
      <c r="B739" s="521">
        <v>327018</v>
      </c>
      <c r="C739" s="266" t="s">
        <v>1012</v>
      </c>
      <c r="D739" s="521">
        <v>327</v>
      </c>
      <c r="E739" s="266" t="s">
        <v>999</v>
      </c>
      <c r="F739" s="522">
        <v>7.3</v>
      </c>
      <c r="G739" s="523">
        <v>918.89583333300004</v>
      </c>
    </row>
    <row r="740" spans="1:7" x14ac:dyDescent="0.2">
      <c r="B740" s="521">
        <v>327019</v>
      </c>
      <c r="C740" s="266" t="s">
        <v>1013</v>
      </c>
      <c r="D740" s="521">
        <v>327</v>
      </c>
      <c r="E740" s="266" t="s">
        <v>999</v>
      </c>
      <c r="F740" s="522">
        <v>7.1571428571400002</v>
      </c>
      <c r="G740" s="523">
        <v>972.85</v>
      </c>
    </row>
    <row r="741" spans="1:7" x14ac:dyDescent="0.2">
      <c r="B741" s="521">
        <v>327020</v>
      </c>
      <c r="C741" s="266" t="s">
        <v>1014</v>
      </c>
      <c r="D741" s="521">
        <v>327</v>
      </c>
      <c r="E741" s="266" t="s">
        <v>999</v>
      </c>
      <c r="F741" s="522">
        <v>7.7</v>
      </c>
      <c r="G741" s="523">
        <v>971.45454545500002</v>
      </c>
    </row>
    <row r="742" spans="1:7" x14ac:dyDescent="0.2">
      <c r="B742" s="521">
        <v>327023</v>
      </c>
      <c r="C742" s="266" t="s">
        <v>1015</v>
      </c>
      <c r="D742" s="521">
        <v>327</v>
      </c>
      <c r="E742" s="266" t="s">
        <v>999</v>
      </c>
      <c r="F742" s="522">
        <v>7.2166666666700001</v>
      </c>
      <c r="G742" s="523">
        <v>1019.41666667</v>
      </c>
    </row>
    <row r="743" spans="1:7" x14ac:dyDescent="0.2">
      <c r="B743" s="521">
        <v>327025</v>
      </c>
      <c r="C743" s="266" t="s">
        <v>1016</v>
      </c>
      <c r="D743" s="521">
        <v>327</v>
      </c>
      <c r="E743" s="266" t="s">
        <v>999</v>
      </c>
      <c r="F743" s="522">
        <v>7.5</v>
      </c>
      <c r="G743" s="523">
        <v>917.53982300899997</v>
      </c>
    </row>
    <row r="744" spans="1:7" x14ac:dyDescent="0.2">
      <c r="B744" s="521">
        <v>327027</v>
      </c>
      <c r="C744" s="266" t="s">
        <v>1017</v>
      </c>
      <c r="D744" s="521">
        <v>327</v>
      </c>
      <c r="E744" s="266" t="s">
        <v>999</v>
      </c>
      <c r="F744" s="522">
        <v>7.4</v>
      </c>
      <c r="G744" s="523">
        <v>955.89655172400001</v>
      </c>
    </row>
    <row r="745" spans="1:7" x14ac:dyDescent="0.2">
      <c r="B745" s="521">
        <v>327029</v>
      </c>
      <c r="C745" s="266" t="s">
        <v>1018</v>
      </c>
      <c r="D745" s="521">
        <v>327</v>
      </c>
      <c r="E745" s="266" t="s">
        <v>999</v>
      </c>
      <c r="F745" s="522">
        <v>6.9</v>
      </c>
      <c r="G745" s="523">
        <v>1036</v>
      </c>
    </row>
    <row r="746" spans="1:7" x14ac:dyDescent="0.2">
      <c r="B746" s="521">
        <v>327030</v>
      </c>
      <c r="C746" s="266" t="s">
        <v>1019</v>
      </c>
      <c r="D746" s="521">
        <v>327</v>
      </c>
      <c r="E746" s="266" t="s">
        <v>999</v>
      </c>
      <c r="F746" s="522">
        <v>7.4583333333299997</v>
      </c>
      <c r="G746" s="523">
        <v>996.41935483899999</v>
      </c>
    </row>
    <row r="747" spans="1:7" x14ac:dyDescent="0.2">
      <c r="B747" s="521">
        <v>327033</v>
      </c>
      <c r="C747" s="266" t="s">
        <v>1020</v>
      </c>
      <c r="D747" s="521">
        <v>327</v>
      </c>
      <c r="E747" s="266" t="s">
        <v>999</v>
      </c>
      <c r="F747" s="522">
        <v>7.25</v>
      </c>
      <c r="G747" s="523">
        <v>1010.71428571</v>
      </c>
    </row>
    <row r="748" spans="1:7" x14ac:dyDescent="0.2">
      <c r="B748" s="521">
        <v>327036</v>
      </c>
      <c r="C748" s="266" t="s">
        <v>1021</v>
      </c>
      <c r="D748" s="521">
        <v>327</v>
      </c>
      <c r="E748" s="266" t="s">
        <v>999</v>
      </c>
      <c r="F748" s="522">
        <v>7.4916666666699996</v>
      </c>
      <c r="G748" s="523">
        <v>966.125</v>
      </c>
    </row>
    <row r="749" spans="1:7" x14ac:dyDescent="0.2">
      <c r="B749" s="521">
        <v>327038</v>
      </c>
      <c r="C749" s="266" t="s">
        <v>1022</v>
      </c>
      <c r="D749" s="521">
        <v>327</v>
      </c>
      <c r="E749" s="266" t="s">
        <v>999</v>
      </c>
      <c r="F749" s="522">
        <v>7.55</v>
      </c>
      <c r="G749" s="523">
        <v>920.12244897999994</v>
      </c>
    </row>
    <row r="750" spans="1:7" x14ac:dyDescent="0.2">
      <c r="A750" s="453"/>
      <c r="B750" s="521">
        <v>327040</v>
      </c>
      <c r="C750" s="266" t="s">
        <v>1023</v>
      </c>
      <c r="D750" s="521">
        <v>327</v>
      </c>
      <c r="E750" s="266" t="s">
        <v>999</v>
      </c>
      <c r="F750" s="522">
        <v>6.9285714285699997</v>
      </c>
      <c r="G750" s="523">
        <v>1025.58333333</v>
      </c>
    </row>
    <row r="751" spans="1:7" x14ac:dyDescent="0.2">
      <c r="B751" s="521">
        <v>327041</v>
      </c>
      <c r="C751" s="266" t="s">
        <v>1024</v>
      </c>
      <c r="D751" s="521">
        <v>327</v>
      </c>
      <c r="E751" s="266" t="s">
        <v>999</v>
      </c>
      <c r="F751" s="522">
        <v>7.1333333333300004</v>
      </c>
      <c r="G751" s="523">
        <v>1014.76923077</v>
      </c>
    </row>
    <row r="752" spans="1:7" x14ac:dyDescent="0.2">
      <c r="B752" s="521">
        <v>327046</v>
      </c>
      <c r="C752" s="266" t="s">
        <v>1025</v>
      </c>
      <c r="D752" s="521">
        <v>327</v>
      </c>
      <c r="E752" s="266" t="s">
        <v>999</v>
      </c>
      <c r="F752" s="522">
        <v>7.6857142857099996</v>
      </c>
      <c r="G752" s="523">
        <v>911.02040816299996</v>
      </c>
    </row>
    <row r="753" spans="2:7" x14ac:dyDescent="0.2">
      <c r="B753" s="521">
        <v>327048</v>
      </c>
      <c r="C753" s="266" t="s">
        <v>472</v>
      </c>
      <c r="D753" s="521">
        <v>327</v>
      </c>
      <c r="E753" s="266" t="s">
        <v>999</v>
      </c>
      <c r="F753" s="522">
        <v>7.2777777777799999</v>
      </c>
      <c r="G753" s="523">
        <v>970.08333333300004</v>
      </c>
    </row>
    <row r="754" spans="2:7" x14ac:dyDescent="0.2">
      <c r="B754" s="521">
        <v>327049</v>
      </c>
      <c r="C754" s="266" t="s">
        <v>1026</v>
      </c>
      <c r="D754" s="521">
        <v>327</v>
      </c>
      <c r="E754" s="266" t="s">
        <v>999</v>
      </c>
      <c r="F754" s="522">
        <v>7.8</v>
      </c>
      <c r="G754" s="523">
        <v>913.11428571399995</v>
      </c>
    </row>
    <row r="755" spans="2:7" x14ac:dyDescent="0.2">
      <c r="B755" s="521">
        <v>327050</v>
      </c>
      <c r="C755" s="266" t="s">
        <v>1027</v>
      </c>
      <c r="D755" s="521">
        <v>327</v>
      </c>
      <c r="E755" s="266" t="s">
        <v>999</v>
      </c>
      <c r="F755" s="522">
        <v>7.5</v>
      </c>
      <c r="G755" s="523">
        <v>931.015625</v>
      </c>
    </row>
    <row r="756" spans="2:7" x14ac:dyDescent="0.2">
      <c r="B756" s="521">
        <v>327051</v>
      </c>
      <c r="C756" s="266" t="s">
        <v>1028</v>
      </c>
      <c r="D756" s="521">
        <v>327</v>
      </c>
      <c r="E756" s="266" t="s">
        <v>999</v>
      </c>
      <c r="F756" s="522">
        <v>6.9</v>
      </c>
      <c r="G756" s="523">
        <v>1034.78571429</v>
      </c>
    </row>
    <row r="757" spans="2:7" x14ac:dyDescent="0.2">
      <c r="B757" s="521">
        <v>327054</v>
      </c>
      <c r="C757" s="266" t="s">
        <v>1029</v>
      </c>
      <c r="D757" s="521">
        <v>327</v>
      </c>
      <c r="E757" s="266" t="s">
        <v>999</v>
      </c>
      <c r="F757" s="522">
        <v>7.45</v>
      </c>
      <c r="G757" s="523">
        <v>946.23255814000004</v>
      </c>
    </row>
    <row r="758" spans="2:7" x14ac:dyDescent="0.2">
      <c r="B758" s="521">
        <v>327055</v>
      </c>
      <c r="C758" s="266" t="s">
        <v>1030</v>
      </c>
      <c r="D758" s="521">
        <v>327</v>
      </c>
      <c r="E758" s="266" t="s">
        <v>999</v>
      </c>
      <c r="F758" s="522">
        <v>7.45</v>
      </c>
      <c r="G758" s="523">
        <v>965.03030303000003</v>
      </c>
    </row>
    <row r="759" spans="2:7" x14ac:dyDescent="0.2">
      <c r="B759" s="521">
        <v>327056</v>
      </c>
      <c r="C759" s="266" t="s">
        <v>1031</v>
      </c>
      <c r="D759" s="521">
        <v>327</v>
      </c>
      <c r="E759" s="266" t="s">
        <v>999</v>
      </c>
      <c r="F759" s="522">
        <v>7.5</v>
      </c>
      <c r="G759" s="523">
        <v>976.61111111100001</v>
      </c>
    </row>
    <row r="760" spans="2:7" x14ac:dyDescent="0.2">
      <c r="B760" s="524">
        <v>327057</v>
      </c>
      <c r="C760" s="525" t="s">
        <v>1032</v>
      </c>
      <c r="D760" s="524">
        <v>327</v>
      </c>
      <c r="E760" s="525" t="s">
        <v>999</v>
      </c>
      <c r="F760" s="526">
        <v>7.7</v>
      </c>
      <c r="G760" s="527">
        <v>917.29333333299996</v>
      </c>
    </row>
    <row r="761" spans="2:7" x14ac:dyDescent="0.2">
      <c r="B761" s="521">
        <v>335001</v>
      </c>
      <c r="C761" s="266" t="s">
        <v>1033</v>
      </c>
      <c r="D761" s="521">
        <v>335</v>
      </c>
      <c r="E761" s="266" t="s">
        <v>1034</v>
      </c>
      <c r="F761" s="522">
        <v>8.6875</v>
      </c>
      <c r="G761" s="523">
        <v>832.375</v>
      </c>
    </row>
    <row r="762" spans="2:7" x14ac:dyDescent="0.2">
      <c r="B762" s="521">
        <v>335002</v>
      </c>
      <c r="C762" s="266" t="s">
        <v>1035</v>
      </c>
      <c r="D762" s="521">
        <v>335</v>
      </c>
      <c r="E762" s="266" t="s">
        <v>1034</v>
      </c>
      <c r="F762" s="522">
        <v>9.1999999999999993</v>
      </c>
      <c r="G762" s="523">
        <v>873.63043478300006</v>
      </c>
    </row>
    <row r="763" spans="2:7" x14ac:dyDescent="0.2">
      <c r="B763" s="521">
        <v>335015</v>
      </c>
      <c r="C763" s="266" t="s">
        <v>1036</v>
      </c>
      <c r="D763" s="521">
        <v>335</v>
      </c>
      <c r="E763" s="266" t="s">
        <v>1034</v>
      </c>
      <c r="F763" s="522">
        <v>9.1999999999999993</v>
      </c>
      <c r="G763" s="523">
        <v>968</v>
      </c>
    </row>
    <row r="764" spans="2:7" x14ac:dyDescent="0.2">
      <c r="B764" s="521">
        <v>335021</v>
      </c>
      <c r="C764" s="266" t="s">
        <v>1037</v>
      </c>
      <c r="D764" s="521">
        <v>335</v>
      </c>
      <c r="E764" s="266" t="s">
        <v>1034</v>
      </c>
      <c r="F764" s="522">
        <v>8.25</v>
      </c>
      <c r="G764" s="523">
        <v>883.89473684200004</v>
      </c>
    </row>
    <row r="765" spans="2:7" x14ac:dyDescent="0.2">
      <c r="B765" s="521">
        <v>335022</v>
      </c>
      <c r="C765" s="266" t="s">
        <v>1038</v>
      </c>
      <c r="D765" s="521">
        <v>335</v>
      </c>
      <c r="E765" s="266" t="s">
        <v>1034</v>
      </c>
      <c r="F765" s="522">
        <v>8.15</v>
      </c>
      <c r="G765" s="523">
        <v>839.97391304300004</v>
      </c>
    </row>
    <row r="766" spans="2:7" x14ac:dyDescent="0.2">
      <c r="B766" s="521">
        <v>335025</v>
      </c>
      <c r="C766" s="266" t="s">
        <v>1039</v>
      </c>
      <c r="D766" s="521">
        <v>335</v>
      </c>
      <c r="E766" s="266" t="s">
        <v>1034</v>
      </c>
      <c r="F766" s="522">
        <v>9.25</v>
      </c>
      <c r="G766" s="523">
        <v>853.94736842099996</v>
      </c>
    </row>
    <row r="767" spans="2:7" x14ac:dyDescent="0.2">
      <c r="B767" s="521">
        <v>335026</v>
      </c>
      <c r="C767" s="266" t="s">
        <v>1040</v>
      </c>
      <c r="D767" s="521">
        <v>335</v>
      </c>
      <c r="E767" s="266" t="s">
        <v>1034</v>
      </c>
      <c r="F767" s="522">
        <v>9.0625</v>
      </c>
      <c r="G767" s="523">
        <v>905.4</v>
      </c>
    </row>
    <row r="768" spans="2:7" x14ac:dyDescent="0.2">
      <c r="B768" s="521">
        <v>335028</v>
      </c>
      <c r="C768" s="266" t="s">
        <v>1041</v>
      </c>
      <c r="D768" s="521">
        <v>335</v>
      </c>
      <c r="E768" s="266" t="s">
        <v>1034</v>
      </c>
      <c r="F768" s="522">
        <v>9.0124999999999993</v>
      </c>
      <c r="G768" s="523">
        <v>881.424242424</v>
      </c>
    </row>
    <row r="769" spans="1:7" x14ac:dyDescent="0.2">
      <c r="B769" s="521">
        <v>335035</v>
      </c>
      <c r="C769" s="266" t="s">
        <v>1042</v>
      </c>
      <c r="D769" s="521">
        <v>335</v>
      </c>
      <c r="E769" s="266" t="s">
        <v>1034</v>
      </c>
      <c r="F769" s="522">
        <v>8.5866666666700002</v>
      </c>
      <c r="G769" s="523">
        <v>849.36923076899996</v>
      </c>
    </row>
    <row r="770" spans="1:7" x14ac:dyDescent="0.2">
      <c r="B770" s="521">
        <v>335043</v>
      </c>
      <c r="C770" s="266" t="s">
        <v>1043</v>
      </c>
      <c r="D770" s="521">
        <v>335</v>
      </c>
      <c r="E770" s="266" t="s">
        <v>1034</v>
      </c>
      <c r="F770" s="522">
        <v>9.4</v>
      </c>
      <c r="G770" s="523">
        <v>868.37037037000005</v>
      </c>
    </row>
    <row r="771" spans="1:7" x14ac:dyDescent="0.2">
      <c r="B771" s="521">
        <v>335055</v>
      </c>
      <c r="C771" s="266" t="s">
        <v>1044</v>
      </c>
      <c r="D771" s="521">
        <v>335</v>
      </c>
      <c r="E771" s="266" t="s">
        <v>1034</v>
      </c>
      <c r="F771" s="522">
        <v>8.8909090909100001</v>
      </c>
      <c r="G771" s="523">
        <v>881.26666666699998</v>
      </c>
    </row>
    <row r="772" spans="1:7" x14ac:dyDescent="0.2">
      <c r="B772" s="521">
        <v>335057</v>
      </c>
      <c r="C772" s="266" t="s">
        <v>1045</v>
      </c>
      <c r="D772" s="521">
        <v>335</v>
      </c>
      <c r="E772" s="266" t="s">
        <v>1034</v>
      </c>
      <c r="F772" s="522">
        <v>8.1</v>
      </c>
      <c r="G772" s="523">
        <v>919.452380952</v>
      </c>
    </row>
    <row r="773" spans="1:7" x14ac:dyDescent="0.2">
      <c r="B773" s="521">
        <v>335061</v>
      </c>
      <c r="C773" s="266" t="s">
        <v>1046</v>
      </c>
      <c r="D773" s="521">
        <v>335</v>
      </c>
      <c r="E773" s="266" t="s">
        <v>1034</v>
      </c>
      <c r="F773" s="522">
        <v>8.84666666667</v>
      </c>
      <c r="G773" s="523">
        <v>952.79310344800001</v>
      </c>
    </row>
    <row r="774" spans="1:7" x14ac:dyDescent="0.2">
      <c r="B774" s="521">
        <v>335063</v>
      </c>
      <c r="C774" s="266" t="s">
        <v>1047</v>
      </c>
      <c r="D774" s="521">
        <v>335</v>
      </c>
      <c r="E774" s="266" t="s">
        <v>1034</v>
      </c>
      <c r="F774" s="522">
        <v>8.9428571428599994</v>
      </c>
      <c r="G774" s="523">
        <v>868.83333333300004</v>
      </c>
    </row>
    <row r="775" spans="1:7" x14ac:dyDescent="0.2">
      <c r="B775" s="521">
        <v>335066</v>
      </c>
      <c r="C775" s="266" t="s">
        <v>1048</v>
      </c>
      <c r="D775" s="521">
        <v>335</v>
      </c>
      <c r="E775" s="266" t="s">
        <v>1034</v>
      </c>
      <c r="F775" s="522">
        <v>9.6</v>
      </c>
      <c r="G775" s="523">
        <v>855.26666666699998</v>
      </c>
    </row>
    <row r="776" spans="1:7" x14ac:dyDescent="0.2">
      <c r="B776" s="521">
        <v>335075</v>
      </c>
      <c r="C776" s="266" t="s">
        <v>1049</v>
      </c>
      <c r="D776" s="521">
        <v>335</v>
      </c>
      <c r="E776" s="266" t="s">
        <v>1034</v>
      </c>
      <c r="F776" s="522">
        <v>8.88461538462</v>
      </c>
      <c r="G776" s="523">
        <v>861.63013698600002</v>
      </c>
    </row>
    <row r="777" spans="1:7" x14ac:dyDescent="0.2">
      <c r="B777" s="521">
        <v>335077</v>
      </c>
      <c r="C777" s="266" t="s">
        <v>1050</v>
      </c>
      <c r="D777" s="521">
        <v>335</v>
      </c>
      <c r="E777" s="266" t="s">
        <v>1034</v>
      </c>
      <c r="F777" s="522">
        <v>8.9499999999999993</v>
      </c>
      <c r="G777" s="523">
        <v>840.66666666699996</v>
      </c>
    </row>
    <row r="778" spans="1:7" x14ac:dyDescent="0.2">
      <c r="B778" s="521">
        <v>335079</v>
      </c>
      <c r="C778" s="266" t="s">
        <v>1051</v>
      </c>
      <c r="D778" s="521">
        <v>335</v>
      </c>
      <c r="E778" s="266" t="s">
        <v>1034</v>
      </c>
      <c r="F778" s="522">
        <v>8.5500000000000007</v>
      </c>
      <c r="G778" s="523">
        <v>891.68807339399996</v>
      </c>
    </row>
    <row r="779" spans="1:7" x14ac:dyDescent="0.2">
      <c r="B779" s="521">
        <v>335080</v>
      </c>
      <c r="C779" s="266" t="s">
        <v>1052</v>
      </c>
      <c r="D779" s="521">
        <v>335</v>
      </c>
      <c r="E779" s="266" t="s">
        <v>1034</v>
      </c>
      <c r="F779" s="522">
        <v>8.1999999999999993</v>
      </c>
      <c r="G779" s="523">
        <v>870.01265822799996</v>
      </c>
    </row>
    <row r="780" spans="1:7" x14ac:dyDescent="0.2">
      <c r="A780" s="453"/>
      <c r="B780" s="521">
        <v>335081</v>
      </c>
      <c r="C780" s="266" t="s">
        <v>1053</v>
      </c>
      <c r="D780" s="521">
        <v>335</v>
      </c>
      <c r="E780" s="266" t="s">
        <v>1034</v>
      </c>
      <c r="F780" s="522">
        <v>9.0500000000000007</v>
      </c>
      <c r="G780" s="523">
        <v>795</v>
      </c>
    </row>
    <row r="781" spans="1:7" x14ac:dyDescent="0.2">
      <c r="B781" s="521">
        <v>335096</v>
      </c>
      <c r="C781" s="266" t="s">
        <v>1054</v>
      </c>
      <c r="D781" s="521">
        <v>335</v>
      </c>
      <c r="E781" s="266" t="s">
        <v>1034</v>
      </c>
      <c r="F781" s="522">
        <v>8.1999999999999993</v>
      </c>
      <c r="G781" s="523">
        <v>921.34</v>
      </c>
    </row>
    <row r="782" spans="1:7" x14ac:dyDescent="0.2">
      <c r="B782" s="521">
        <v>335097</v>
      </c>
      <c r="C782" s="266" t="s">
        <v>1055</v>
      </c>
      <c r="D782" s="521">
        <v>335</v>
      </c>
      <c r="E782" s="266" t="s">
        <v>1034</v>
      </c>
      <c r="F782" s="522">
        <v>8.7888888888899999</v>
      </c>
      <c r="G782" s="523">
        <v>802.8125</v>
      </c>
    </row>
    <row r="783" spans="1:7" x14ac:dyDescent="0.2">
      <c r="B783" s="521">
        <v>335098</v>
      </c>
      <c r="C783" s="266" t="s">
        <v>1056</v>
      </c>
      <c r="D783" s="521">
        <v>335</v>
      </c>
      <c r="E783" s="266" t="s">
        <v>1034</v>
      </c>
      <c r="F783" s="522">
        <v>8.8416666666699992</v>
      </c>
      <c r="G783" s="523">
        <v>895.11111111100001</v>
      </c>
    </row>
    <row r="784" spans="1:7" x14ac:dyDescent="0.2">
      <c r="B784" s="521">
        <v>335099</v>
      </c>
      <c r="C784" s="266" t="s">
        <v>1057</v>
      </c>
      <c r="D784" s="521">
        <v>335</v>
      </c>
      <c r="E784" s="266" t="s">
        <v>1034</v>
      </c>
      <c r="F784" s="522">
        <v>8.75</v>
      </c>
      <c r="G784" s="523">
        <v>830.31428571399999</v>
      </c>
    </row>
    <row r="785" spans="2:7" x14ac:dyDescent="0.2">
      <c r="B785" s="524">
        <v>335100</v>
      </c>
      <c r="C785" s="525" t="s">
        <v>1058</v>
      </c>
      <c r="D785" s="524">
        <v>335</v>
      </c>
      <c r="E785" s="525" t="s">
        <v>1034</v>
      </c>
      <c r="F785" s="526">
        <v>9.0571428571400006</v>
      </c>
      <c r="G785" s="527">
        <v>862.70833333300004</v>
      </c>
    </row>
    <row r="786" spans="2:7" x14ac:dyDescent="0.2">
      <c r="B786" s="521">
        <v>336004</v>
      </c>
      <c r="C786" s="266" t="s">
        <v>1059</v>
      </c>
      <c r="D786" s="521">
        <v>336</v>
      </c>
      <c r="E786" s="266" t="s">
        <v>1060</v>
      </c>
      <c r="F786" s="522">
        <v>6.9714285714299997</v>
      </c>
      <c r="G786" s="523">
        <v>1813.52</v>
      </c>
    </row>
    <row r="787" spans="2:7" x14ac:dyDescent="0.2">
      <c r="B787" s="521">
        <v>336006</v>
      </c>
      <c r="C787" s="266" t="s">
        <v>1061</v>
      </c>
      <c r="D787" s="521">
        <v>336</v>
      </c>
      <c r="E787" s="266" t="s">
        <v>1060</v>
      </c>
      <c r="F787" s="522">
        <v>10.0777777778</v>
      </c>
      <c r="G787" s="523">
        <v>967.39285714300001</v>
      </c>
    </row>
    <row r="788" spans="2:7" x14ac:dyDescent="0.2">
      <c r="B788" s="521">
        <v>336008</v>
      </c>
      <c r="C788" s="266" t="s">
        <v>1062</v>
      </c>
      <c r="D788" s="521">
        <v>336</v>
      </c>
      <c r="E788" s="266" t="s">
        <v>1060</v>
      </c>
      <c r="F788" s="522">
        <v>10.1875</v>
      </c>
      <c r="G788" s="523">
        <v>910.77777777799997</v>
      </c>
    </row>
    <row r="789" spans="2:7" x14ac:dyDescent="0.2">
      <c r="B789" s="521">
        <v>336010</v>
      </c>
      <c r="C789" s="266" t="s">
        <v>1063</v>
      </c>
      <c r="D789" s="521">
        <v>336</v>
      </c>
      <c r="E789" s="266" t="s">
        <v>1060</v>
      </c>
      <c r="F789" s="522">
        <v>7</v>
      </c>
      <c r="G789" s="523">
        <v>1835</v>
      </c>
    </row>
    <row r="790" spans="2:7" x14ac:dyDescent="0.2">
      <c r="B790" s="521">
        <v>336014</v>
      </c>
      <c r="C790" s="266" t="s">
        <v>1064</v>
      </c>
      <c r="D790" s="521">
        <v>336</v>
      </c>
      <c r="E790" s="266" t="s">
        <v>1060</v>
      </c>
      <c r="F790" s="522">
        <v>10.25</v>
      </c>
      <c r="G790" s="523">
        <v>902.03508771899999</v>
      </c>
    </row>
    <row r="791" spans="2:7" x14ac:dyDescent="0.2">
      <c r="B791" s="521">
        <v>336019</v>
      </c>
      <c r="C791" s="266" t="s">
        <v>1065</v>
      </c>
      <c r="D791" s="521">
        <v>336</v>
      </c>
      <c r="E791" s="266" t="s">
        <v>1060</v>
      </c>
      <c r="F791" s="522">
        <v>10.55</v>
      </c>
      <c r="G791" s="523">
        <v>833.85714285699999</v>
      </c>
    </row>
    <row r="792" spans="2:7" x14ac:dyDescent="0.2">
      <c r="B792" s="521">
        <v>336024</v>
      </c>
      <c r="C792" s="266" t="s">
        <v>1066</v>
      </c>
      <c r="D792" s="521">
        <v>336</v>
      </c>
      <c r="E792" s="266" t="s">
        <v>1060</v>
      </c>
      <c r="F792" s="522">
        <v>10.199999999999999</v>
      </c>
      <c r="G792" s="523">
        <v>900.25</v>
      </c>
    </row>
    <row r="793" spans="2:7" x14ac:dyDescent="0.2">
      <c r="B793" s="521">
        <v>336025</v>
      </c>
      <c r="C793" s="266" t="s">
        <v>1067</v>
      </c>
      <c r="D793" s="521">
        <v>336</v>
      </c>
      <c r="E793" s="266" t="s">
        <v>1060</v>
      </c>
      <c r="F793" s="522">
        <v>7.2967741935500001</v>
      </c>
      <c r="G793" s="523">
        <v>1834.1627907</v>
      </c>
    </row>
    <row r="794" spans="2:7" x14ac:dyDescent="0.2">
      <c r="B794" s="521">
        <v>336034</v>
      </c>
      <c r="C794" s="266" t="s">
        <v>1068</v>
      </c>
      <c r="D794" s="521">
        <v>336</v>
      </c>
      <c r="E794" s="266" t="s">
        <v>1060</v>
      </c>
      <c r="F794" s="522">
        <v>8.4928571428600002</v>
      </c>
      <c r="G794" s="523">
        <v>1355.0666666699999</v>
      </c>
    </row>
    <row r="795" spans="2:7" x14ac:dyDescent="0.2">
      <c r="B795" s="521">
        <v>336036</v>
      </c>
      <c r="C795" s="266" t="s">
        <v>1069</v>
      </c>
      <c r="D795" s="521">
        <v>336</v>
      </c>
      <c r="E795" s="266" t="s">
        <v>1060</v>
      </c>
      <c r="F795" s="522">
        <v>8.8625000000000007</v>
      </c>
      <c r="G795" s="523">
        <v>1354.375</v>
      </c>
    </row>
    <row r="796" spans="2:7" x14ac:dyDescent="0.2">
      <c r="B796" s="521">
        <v>336043</v>
      </c>
      <c r="C796" s="266" t="s">
        <v>1070</v>
      </c>
      <c r="D796" s="521">
        <v>336</v>
      </c>
      <c r="E796" s="266" t="s">
        <v>1060</v>
      </c>
      <c r="F796" s="522">
        <v>9.5500000000000007</v>
      </c>
      <c r="G796" s="523">
        <v>1092.8571428600001</v>
      </c>
    </row>
    <row r="797" spans="2:7" x14ac:dyDescent="0.2">
      <c r="B797" s="521">
        <v>336045</v>
      </c>
      <c r="C797" s="266" t="s">
        <v>1071</v>
      </c>
      <c r="D797" s="521">
        <v>336</v>
      </c>
      <c r="E797" s="266" t="s">
        <v>1060</v>
      </c>
      <c r="F797" s="522">
        <v>9.1607142857100001</v>
      </c>
      <c r="G797" s="523">
        <v>1111.95412844</v>
      </c>
    </row>
    <row r="798" spans="2:7" x14ac:dyDescent="0.2">
      <c r="B798" s="521">
        <v>336050</v>
      </c>
      <c r="C798" s="266" t="s">
        <v>1072</v>
      </c>
      <c r="D798" s="521">
        <v>336</v>
      </c>
      <c r="E798" s="266" t="s">
        <v>1060</v>
      </c>
      <c r="F798" s="522">
        <v>9.8000000000000007</v>
      </c>
      <c r="G798" s="523">
        <v>1015.61016949</v>
      </c>
    </row>
    <row r="799" spans="2:7" x14ac:dyDescent="0.2">
      <c r="B799" s="521">
        <v>336057</v>
      </c>
      <c r="C799" s="266" t="s">
        <v>1073</v>
      </c>
      <c r="D799" s="521">
        <v>336</v>
      </c>
      <c r="E799" s="266" t="s">
        <v>1060</v>
      </c>
      <c r="F799" s="522">
        <v>9.375</v>
      </c>
      <c r="G799" s="523">
        <v>1231.9444444400001</v>
      </c>
    </row>
    <row r="800" spans="2:7" x14ac:dyDescent="0.2">
      <c r="B800" s="521">
        <v>336069</v>
      </c>
      <c r="C800" s="266" t="s">
        <v>1074</v>
      </c>
      <c r="D800" s="521">
        <v>336</v>
      </c>
      <c r="E800" s="266" t="s">
        <v>1060</v>
      </c>
      <c r="F800" s="522">
        <v>9.9499999999999993</v>
      </c>
      <c r="G800" s="523">
        <v>1097.8636363600001</v>
      </c>
    </row>
    <row r="801" spans="1:7" x14ac:dyDescent="0.2">
      <c r="B801" s="521">
        <v>336073</v>
      </c>
      <c r="C801" s="266" t="s">
        <v>1075</v>
      </c>
      <c r="D801" s="521">
        <v>336</v>
      </c>
      <c r="E801" s="266" t="s">
        <v>1060</v>
      </c>
      <c r="F801" s="522">
        <v>10</v>
      </c>
      <c r="G801" s="523">
        <v>961.33333333300004</v>
      </c>
    </row>
    <row r="802" spans="1:7" x14ac:dyDescent="0.2">
      <c r="B802" s="521">
        <v>336075</v>
      </c>
      <c r="C802" s="266" t="s">
        <v>1076</v>
      </c>
      <c r="D802" s="521">
        <v>336</v>
      </c>
      <c r="E802" s="266" t="s">
        <v>1060</v>
      </c>
      <c r="F802" s="522">
        <v>10.15</v>
      </c>
      <c r="G802" s="523">
        <v>929.5</v>
      </c>
    </row>
    <row r="803" spans="1:7" x14ac:dyDescent="0.2">
      <c r="B803" s="521">
        <v>336078</v>
      </c>
      <c r="C803" s="266" t="s">
        <v>1077</v>
      </c>
      <c r="D803" s="521">
        <v>336</v>
      </c>
      <c r="E803" s="266" t="s">
        <v>1060</v>
      </c>
      <c r="F803" s="522">
        <v>9.1214285714300001</v>
      </c>
      <c r="G803" s="523">
        <v>1106.4875</v>
      </c>
    </row>
    <row r="804" spans="1:7" x14ac:dyDescent="0.2">
      <c r="B804" s="521">
        <v>336079</v>
      </c>
      <c r="C804" s="266" t="s">
        <v>1078</v>
      </c>
      <c r="D804" s="521">
        <v>336</v>
      </c>
      <c r="E804" s="266" t="s">
        <v>1060</v>
      </c>
      <c r="F804" s="522">
        <v>6.85</v>
      </c>
      <c r="G804" s="523">
        <v>1832.0454545499999</v>
      </c>
    </row>
    <row r="805" spans="1:7" x14ac:dyDescent="0.2">
      <c r="B805" s="521">
        <v>336080</v>
      </c>
      <c r="C805" s="266" t="s">
        <v>1079</v>
      </c>
      <c r="D805" s="521">
        <v>336</v>
      </c>
      <c r="E805" s="266" t="s">
        <v>1060</v>
      </c>
      <c r="F805" s="522">
        <v>7.1095238095199997</v>
      </c>
      <c r="G805" s="523">
        <v>1821.1034482800001</v>
      </c>
    </row>
    <row r="806" spans="1:7" x14ac:dyDescent="0.2">
      <c r="B806" s="521">
        <v>336081</v>
      </c>
      <c r="C806" s="266" t="s">
        <v>1080</v>
      </c>
      <c r="D806" s="521">
        <v>336</v>
      </c>
      <c r="E806" s="266" t="s">
        <v>1060</v>
      </c>
      <c r="F806" s="522">
        <v>7.7439024390200002</v>
      </c>
      <c r="G806" s="523">
        <v>1480.7321428600001</v>
      </c>
    </row>
    <row r="807" spans="1:7" x14ac:dyDescent="0.2">
      <c r="B807" s="521">
        <v>336082</v>
      </c>
      <c r="C807" s="266" t="s">
        <v>1081</v>
      </c>
      <c r="D807" s="521">
        <v>336</v>
      </c>
      <c r="E807" s="266" t="s">
        <v>1060</v>
      </c>
      <c r="F807" s="522">
        <v>9.5928571428599998</v>
      </c>
      <c r="G807" s="523">
        <v>1202.1600000000001</v>
      </c>
    </row>
    <row r="808" spans="1:7" x14ac:dyDescent="0.2">
      <c r="B808" s="521">
        <v>336084</v>
      </c>
      <c r="C808" s="266" t="s">
        <v>1082</v>
      </c>
      <c r="D808" s="521">
        <v>336</v>
      </c>
      <c r="E808" s="266" t="s">
        <v>1060</v>
      </c>
      <c r="F808" s="522">
        <v>8.8869565217400002</v>
      </c>
      <c r="G808" s="523">
        <v>1309.70491803</v>
      </c>
    </row>
    <row r="809" spans="1:7" x14ac:dyDescent="0.2">
      <c r="B809" s="521">
        <v>336087</v>
      </c>
      <c r="C809" s="266" t="s">
        <v>1083</v>
      </c>
      <c r="D809" s="521">
        <v>336</v>
      </c>
      <c r="E809" s="266" t="s">
        <v>1060</v>
      </c>
      <c r="F809" s="522">
        <v>6.3042553191500001</v>
      </c>
      <c r="G809" s="523">
        <v>1829.2794117599999</v>
      </c>
    </row>
    <row r="810" spans="1:7" x14ac:dyDescent="0.2">
      <c r="A810" s="453"/>
      <c r="B810" s="521">
        <v>336089</v>
      </c>
      <c r="C810" s="266" t="s">
        <v>1084</v>
      </c>
      <c r="D810" s="521">
        <v>336</v>
      </c>
      <c r="E810" s="266" t="s">
        <v>1060</v>
      </c>
      <c r="F810" s="522">
        <v>7.2285714285699996</v>
      </c>
      <c r="G810" s="523">
        <v>1898.375</v>
      </c>
    </row>
    <row r="811" spans="1:7" x14ac:dyDescent="0.2">
      <c r="B811" s="521">
        <v>336090</v>
      </c>
      <c r="C811" s="266" t="s">
        <v>1085</v>
      </c>
      <c r="D811" s="521">
        <v>336</v>
      </c>
      <c r="E811" s="266" t="s">
        <v>1060</v>
      </c>
      <c r="F811" s="522">
        <v>7.46</v>
      </c>
      <c r="G811" s="523">
        <v>1744.5</v>
      </c>
    </row>
    <row r="812" spans="1:7" x14ac:dyDescent="0.2">
      <c r="B812" s="521">
        <v>336091</v>
      </c>
      <c r="C812" s="266" t="s">
        <v>1086</v>
      </c>
      <c r="D812" s="521">
        <v>336</v>
      </c>
      <c r="E812" s="266" t="s">
        <v>1060</v>
      </c>
      <c r="F812" s="522">
        <v>10.112500000000001</v>
      </c>
      <c r="G812" s="523">
        <v>892.6</v>
      </c>
    </row>
    <row r="813" spans="1:7" x14ac:dyDescent="0.2">
      <c r="B813" s="521">
        <v>336094</v>
      </c>
      <c r="C813" s="266" t="s">
        <v>1087</v>
      </c>
      <c r="D813" s="521">
        <v>336</v>
      </c>
      <c r="E813" s="266" t="s">
        <v>1060</v>
      </c>
      <c r="F813" s="522">
        <v>7.7272727272699999</v>
      </c>
      <c r="G813" s="523">
        <v>1777.91666667</v>
      </c>
    </row>
    <row r="814" spans="1:7" x14ac:dyDescent="0.2">
      <c r="B814" s="521">
        <v>336096</v>
      </c>
      <c r="C814" s="266" t="s">
        <v>1088</v>
      </c>
      <c r="D814" s="521">
        <v>336</v>
      </c>
      <c r="E814" s="266" t="s">
        <v>1060</v>
      </c>
      <c r="F814" s="522">
        <v>6.25</v>
      </c>
      <c r="G814" s="523">
        <v>1822.2</v>
      </c>
    </row>
    <row r="815" spans="1:7" x14ac:dyDescent="0.2">
      <c r="B815" s="521">
        <v>336100</v>
      </c>
      <c r="C815" s="266" t="s">
        <v>1089</v>
      </c>
      <c r="D815" s="521">
        <v>336</v>
      </c>
      <c r="E815" s="266" t="s">
        <v>1060</v>
      </c>
      <c r="F815" s="522">
        <v>9.6923076923099991</v>
      </c>
      <c r="G815" s="523">
        <v>1041.27777778</v>
      </c>
    </row>
    <row r="816" spans="1:7" x14ac:dyDescent="0.2">
      <c r="B816" s="521">
        <v>336103</v>
      </c>
      <c r="C816" s="266" t="s">
        <v>1090</v>
      </c>
      <c r="D816" s="521">
        <v>336</v>
      </c>
      <c r="E816" s="266" t="s">
        <v>1060</v>
      </c>
      <c r="F816" s="522">
        <v>7.4736842105300001</v>
      </c>
      <c r="G816" s="523">
        <v>1705.1318681299999</v>
      </c>
    </row>
    <row r="817" spans="2:7" x14ac:dyDescent="0.2">
      <c r="B817" s="521">
        <v>336104</v>
      </c>
      <c r="C817" s="266" t="s">
        <v>1091</v>
      </c>
      <c r="D817" s="521">
        <v>336</v>
      </c>
      <c r="E817" s="266" t="s">
        <v>1060</v>
      </c>
      <c r="F817" s="522">
        <v>7.63461538462</v>
      </c>
      <c r="G817" s="523">
        <v>1541.9767441900001</v>
      </c>
    </row>
    <row r="818" spans="2:7" x14ac:dyDescent="0.2">
      <c r="B818" s="521">
        <v>336105</v>
      </c>
      <c r="C818" s="266" t="s">
        <v>1092</v>
      </c>
      <c r="D818" s="521">
        <v>336</v>
      </c>
      <c r="E818" s="266" t="s">
        <v>1060</v>
      </c>
      <c r="F818" s="522">
        <v>9.7818181818200003</v>
      </c>
      <c r="G818" s="523">
        <v>1038.35294118</v>
      </c>
    </row>
    <row r="819" spans="2:7" x14ac:dyDescent="0.2">
      <c r="B819" s="521">
        <v>336106</v>
      </c>
      <c r="C819" s="266" t="s">
        <v>1093</v>
      </c>
      <c r="D819" s="521">
        <v>336</v>
      </c>
      <c r="E819" s="266" t="s">
        <v>1060</v>
      </c>
      <c r="F819" s="522">
        <v>6.9124999999999996</v>
      </c>
      <c r="G819" s="523">
        <v>1853.4545454500001</v>
      </c>
    </row>
    <row r="820" spans="2:7" x14ac:dyDescent="0.2">
      <c r="B820" s="524">
        <v>336107</v>
      </c>
      <c r="C820" s="525" t="s">
        <v>1094</v>
      </c>
      <c r="D820" s="524">
        <v>336</v>
      </c>
      <c r="E820" s="525" t="s">
        <v>1060</v>
      </c>
      <c r="F820" s="526">
        <v>7.7794871794900002</v>
      </c>
      <c r="G820" s="527">
        <v>1622.4159999999999</v>
      </c>
    </row>
    <row r="821" spans="2:7" x14ac:dyDescent="0.2">
      <c r="B821" s="521">
        <v>337002</v>
      </c>
      <c r="C821" s="266" t="s">
        <v>1095</v>
      </c>
      <c r="D821" s="521">
        <v>337</v>
      </c>
      <c r="E821" s="266" t="s">
        <v>1096</v>
      </c>
      <c r="F821" s="522">
        <v>8.6962962962999999</v>
      </c>
      <c r="G821" s="523">
        <v>1295.625</v>
      </c>
    </row>
    <row r="822" spans="2:7" x14ac:dyDescent="0.2">
      <c r="B822" s="521">
        <v>337013</v>
      </c>
      <c r="C822" s="266" t="s">
        <v>1097</v>
      </c>
      <c r="D822" s="521">
        <v>337</v>
      </c>
      <c r="E822" s="266" t="s">
        <v>1096</v>
      </c>
      <c r="F822" s="522">
        <v>5.5960000000000001</v>
      </c>
      <c r="G822" s="523">
        <v>1840.08333333</v>
      </c>
    </row>
    <row r="823" spans="2:7" x14ac:dyDescent="0.2">
      <c r="B823" s="521">
        <v>337022</v>
      </c>
      <c r="C823" s="266" t="s">
        <v>1098</v>
      </c>
      <c r="D823" s="521">
        <v>337</v>
      </c>
      <c r="E823" s="266" t="s">
        <v>1096</v>
      </c>
      <c r="F823" s="522">
        <v>7.15384615385</v>
      </c>
      <c r="G823" s="523">
        <v>1184.2704917999999</v>
      </c>
    </row>
    <row r="824" spans="2:7" x14ac:dyDescent="0.2">
      <c r="B824" s="521">
        <v>337027</v>
      </c>
      <c r="C824" s="266" t="s">
        <v>1099</v>
      </c>
      <c r="D824" s="521">
        <v>337</v>
      </c>
      <c r="E824" s="266" t="s">
        <v>1096</v>
      </c>
      <c r="F824" s="522">
        <v>6.8962962963000001</v>
      </c>
      <c r="G824" s="523">
        <v>1577.5873015899999</v>
      </c>
    </row>
    <row r="825" spans="2:7" x14ac:dyDescent="0.2">
      <c r="B825" s="521">
        <v>337030</v>
      </c>
      <c r="C825" s="266" t="s">
        <v>1100</v>
      </c>
      <c r="D825" s="521">
        <v>337</v>
      </c>
      <c r="E825" s="266" t="s">
        <v>1096</v>
      </c>
      <c r="F825" s="522">
        <v>8.5</v>
      </c>
      <c r="G825" s="523">
        <v>1113.5789473699999</v>
      </c>
    </row>
    <row r="826" spans="2:7" x14ac:dyDescent="0.2">
      <c r="B826" s="521">
        <v>337032</v>
      </c>
      <c r="C826" s="266" t="s">
        <v>1101</v>
      </c>
      <c r="D826" s="521">
        <v>337</v>
      </c>
      <c r="E826" s="266" t="s">
        <v>1096</v>
      </c>
      <c r="F826" s="522">
        <v>9.25</v>
      </c>
      <c r="G826" s="523">
        <v>1179.33333333</v>
      </c>
    </row>
    <row r="827" spans="2:7" x14ac:dyDescent="0.2">
      <c r="B827" s="521">
        <v>337038</v>
      </c>
      <c r="C827" s="266" t="s">
        <v>1102</v>
      </c>
      <c r="D827" s="521">
        <v>337</v>
      </c>
      <c r="E827" s="266" t="s">
        <v>1096</v>
      </c>
      <c r="F827" s="522">
        <v>7.2562499999999996</v>
      </c>
      <c r="G827" s="523">
        <v>1610.7613636399999</v>
      </c>
    </row>
    <row r="828" spans="2:7" x14ac:dyDescent="0.2">
      <c r="B828" s="521">
        <v>337039</v>
      </c>
      <c r="C828" s="266" t="s">
        <v>1103</v>
      </c>
      <c r="D828" s="521">
        <v>337</v>
      </c>
      <c r="E828" s="266" t="s">
        <v>1096</v>
      </c>
      <c r="F828" s="522">
        <v>6.5650000000000004</v>
      </c>
      <c r="G828" s="523">
        <v>1375.2168674699999</v>
      </c>
    </row>
    <row r="829" spans="2:7" x14ac:dyDescent="0.2">
      <c r="B829" s="521">
        <v>337045</v>
      </c>
      <c r="C829" s="266" t="s">
        <v>1104</v>
      </c>
      <c r="D829" s="521">
        <v>337</v>
      </c>
      <c r="E829" s="266" t="s">
        <v>1096</v>
      </c>
      <c r="F829" s="522">
        <v>6.44</v>
      </c>
      <c r="G829" s="523">
        <v>1569.78571429</v>
      </c>
    </row>
    <row r="830" spans="2:7" x14ac:dyDescent="0.2">
      <c r="B830" s="521">
        <v>337049</v>
      </c>
      <c r="C830" s="266" t="s">
        <v>1105</v>
      </c>
      <c r="D830" s="521">
        <v>337</v>
      </c>
      <c r="E830" s="266" t="s">
        <v>1096</v>
      </c>
      <c r="F830" s="522">
        <v>6.6105263157899996</v>
      </c>
      <c r="G830" s="523">
        <v>1750.4084507</v>
      </c>
    </row>
    <row r="831" spans="2:7" x14ac:dyDescent="0.2">
      <c r="B831" s="521">
        <v>337051</v>
      </c>
      <c r="C831" s="266" t="s">
        <v>1106</v>
      </c>
      <c r="D831" s="521">
        <v>337</v>
      </c>
      <c r="E831" s="266" t="s">
        <v>1096</v>
      </c>
      <c r="F831" s="522">
        <v>7.2285714285699996</v>
      </c>
      <c r="G831" s="523">
        <v>1428.3454545500001</v>
      </c>
    </row>
    <row r="832" spans="2:7" x14ac:dyDescent="0.2">
      <c r="B832" s="521">
        <v>337053</v>
      </c>
      <c r="C832" s="266" t="s">
        <v>1107</v>
      </c>
      <c r="D832" s="521">
        <v>337</v>
      </c>
      <c r="E832" s="266" t="s">
        <v>1096</v>
      </c>
      <c r="F832" s="522">
        <v>8.8388888888900006</v>
      </c>
      <c r="G832" s="523">
        <v>1124.33333333</v>
      </c>
    </row>
    <row r="833" spans="1:7" x14ac:dyDescent="0.2">
      <c r="B833" s="521">
        <v>337059</v>
      </c>
      <c r="C833" s="266" t="s">
        <v>1108</v>
      </c>
      <c r="D833" s="521">
        <v>337</v>
      </c>
      <c r="E833" s="266" t="s">
        <v>1096</v>
      </c>
      <c r="F833" s="522">
        <v>5.9133333333299998</v>
      </c>
      <c r="G833" s="523">
        <v>1789.8421052599999</v>
      </c>
    </row>
    <row r="834" spans="1:7" x14ac:dyDescent="0.2">
      <c r="B834" s="521">
        <v>337060</v>
      </c>
      <c r="C834" s="266" t="s">
        <v>1109</v>
      </c>
      <c r="D834" s="521">
        <v>337</v>
      </c>
      <c r="E834" s="266" t="s">
        <v>1096</v>
      </c>
      <c r="F834" s="522">
        <v>9</v>
      </c>
      <c r="G834" s="523">
        <v>1037.8695652199999</v>
      </c>
    </row>
    <row r="835" spans="1:7" x14ac:dyDescent="0.2">
      <c r="B835" s="521">
        <v>337062</v>
      </c>
      <c r="C835" s="266" t="s">
        <v>1110</v>
      </c>
      <c r="D835" s="521">
        <v>337</v>
      </c>
      <c r="E835" s="266" t="s">
        <v>1096</v>
      </c>
      <c r="F835" s="522">
        <v>8.65</v>
      </c>
      <c r="G835" s="523">
        <v>1096.33846154</v>
      </c>
    </row>
    <row r="836" spans="1:7" x14ac:dyDescent="0.2">
      <c r="B836" s="521">
        <v>337065</v>
      </c>
      <c r="C836" s="266" t="s">
        <v>1111</v>
      </c>
      <c r="D836" s="521">
        <v>337</v>
      </c>
      <c r="E836" s="266" t="s">
        <v>1096</v>
      </c>
      <c r="F836" s="522">
        <v>9.19</v>
      </c>
      <c r="G836" s="523">
        <v>1076.51851852</v>
      </c>
    </row>
    <row r="837" spans="1:7" x14ac:dyDescent="0.2">
      <c r="B837" s="521">
        <v>337066</v>
      </c>
      <c r="C837" s="266" t="s">
        <v>1112</v>
      </c>
      <c r="D837" s="521">
        <v>337</v>
      </c>
      <c r="E837" s="266" t="s">
        <v>1096</v>
      </c>
      <c r="F837" s="522">
        <v>8.87391304348</v>
      </c>
      <c r="G837" s="523">
        <v>1276.34090909</v>
      </c>
    </row>
    <row r="838" spans="1:7" x14ac:dyDescent="0.2">
      <c r="B838" s="521">
        <v>337070</v>
      </c>
      <c r="C838" s="266" t="s">
        <v>1113</v>
      </c>
      <c r="D838" s="521">
        <v>337</v>
      </c>
      <c r="E838" s="266" t="s">
        <v>1096</v>
      </c>
      <c r="F838" s="522">
        <v>9.17</v>
      </c>
      <c r="G838" s="523">
        <v>1025.9333333300001</v>
      </c>
    </row>
    <row r="839" spans="1:7" x14ac:dyDescent="0.2">
      <c r="B839" s="521">
        <v>337076</v>
      </c>
      <c r="C839" s="266" t="s">
        <v>1114</v>
      </c>
      <c r="D839" s="521">
        <v>337</v>
      </c>
      <c r="E839" s="266" t="s">
        <v>1096</v>
      </c>
      <c r="F839" s="522">
        <v>8.7291666666700003</v>
      </c>
      <c r="G839" s="523">
        <v>1318.68421053</v>
      </c>
    </row>
    <row r="840" spans="1:7" x14ac:dyDescent="0.2">
      <c r="A840" s="453"/>
      <c r="B840" s="521">
        <v>337090</v>
      </c>
      <c r="C840" s="266" t="s">
        <v>1115</v>
      </c>
      <c r="D840" s="521">
        <v>337</v>
      </c>
      <c r="E840" s="266" t="s">
        <v>1096</v>
      </c>
      <c r="F840" s="522">
        <v>7.6130434782599998</v>
      </c>
      <c r="G840" s="523">
        <v>1481.67741935</v>
      </c>
    </row>
    <row r="841" spans="1:7" x14ac:dyDescent="0.2">
      <c r="B841" s="521">
        <v>337096</v>
      </c>
      <c r="C841" s="266" t="s">
        <v>1116</v>
      </c>
      <c r="D841" s="521">
        <v>337</v>
      </c>
      <c r="E841" s="266" t="s">
        <v>1096</v>
      </c>
      <c r="F841" s="522">
        <v>9.0944444444400006</v>
      </c>
      <c r="G841" s="523">
        <v>1206.3928571399999</v>
      </c>
    </row>
    <row r="842" spans="1:7" x14ac:dyDescent="0.2">
      <c r="B842" s="521">
        <v>337097</v>
      </c>
      <c r="C842" s="266" t="s">
        <v>1117</v>
      </c>
      <c r="D842" s="521">
        <v>337</v>
      </c>
      <c r="E842" s="266" t="s">
        <v>1096</v>
      </c>
      <c r="F842" s="522">
        <v>6.1447368421100004</v>
      </c>
      <c r="G842" s="523">
        <v>1703.0225988699999</v>
      </c>
    </row>
    <row r="843" spans="1:7" x14ac:dyDescent="0.2">
      <c r="B843" s="521">
        <v>337106</v>
      </c>
      <c r="C843" s="266" t="s">
        <v>1118</v>
      </c>
      <c r="D843" s="521">
        <v>337</v>
      </c>
      <c r="E843" s="266" t="s">
        <v>1096</v>
      </c>
      <c r="F843" s="522">
        <v>8</v>
      </c>
      <c r="G843" s="523">
        <v>1090.9142857100001</v>
      </c>
    </row>
    <row r="844" spans="1:7" x14ac:dyDescent="0.2">
      <c r="B844" s="521">
        <v>337108</v>
      </c>
      <c r="C844" s="266" t="s">
        <v>1119</v>
      </c>
      <c r="D844" s="521">
        <v>337</v>
      </c>
      <c r="E844" s="266" t="s">
        <v>1096</v>
      </c>
      <c r="F844" s="522">
        <v>6.125</v>
      </c>
      <c r="G844" s="523">
        <v>1908.92</v>
      </c>
    </row>
    <row r="845" spans="1:7" x14ac:dyDescent="0.2">
      <c r="B845" s="521">
        <v>337116</v>
      </c>
      <c r="C845" s="266" t="s">
        <v>1120</v>
      </c>
      <c r="D845" s="521">
        <v>337</v>
      </c>
      <c r="E845" s="266" t="s">
        <v>1096</v>
      </c>
      <c r="F845" s="522">
        <v>8.4030303030300004</v>
      </c>
      <c r="G845" s="523">
        <v>1329.46774194</v>
      </c>
    </row>
    <row r="846" spans="1:7" x14ac:dyDescent="0.2">
      <c r="B846" s="521">
        <v>337118</v>
      </c>
      <c r="C846" s="266" t="s">
        <v>1121</v>
      </c>
      <c r="D846" s="521">
        <v>337</v>
      </c>
      <c r="E846" s="266" t="s">
        <v>1096</v>
      </c>
      <c r="F846" s="522">
        <v>7.9956521739099999</v>
      </c>
      <c r="G846" s="523">
        <v>1308.66101695</v>
      </c>
    </row>
    <row r="847" spans="1:7" x14ac:dyDescent="0.2">
      <c r="B847" s="521">
        <v>337123</v>
      </c>
      <c r="C847" s="266" t="s">
        <v>1122</v>
      </c>
      <c r="D847" s="521">
        <v>337</v>
      </c>
      <c r="E847" s="266" t="s">
        <v>1096</v>
      </c>
      <c r="F847" s="522">
        <v>8.85</v>
      </c>
      <c r="G847" s="523">
        <v>1087.97222222</v>
      </c>
    </row>
    <row r="848" spans="1:7" x14ac:dyDescent="0.2">
      <c r="B848" s="521">
        <v>337124</v>
      </c>
      <c r="C848" s="266" t="s">
        <v>1123</v>
      </c>
      <c r="D848" s="521">
        <v>337</v>
      </c>
      <c r="E848" s="266" t="s">
        <v>1096</v>
      </c>
      <c r="F848" s="522">
        <v>8.5</v>
      </c>
      <c r="G848" s="523">
        <v>1145.25</v>
      </c>
    </row>
    <row r="849" spans="2:7" x14ac:dyDescent="0.2">
      <c r="B849" s="521">
        <v>337125</v>
      </c>
      <c r="C849" s="266" t="s">
        <v>1124</v>
      </c>
      <c r="D849" s="521">
        <v>337</v>
      </c>
      <c r="E849" s="266" t="s">
        <v>1096</v>
      </c>
      <c r="F849" s="522">
        <v>8.9277777777799994</v>
      </c>
      <c r="G849" s="523">
        <v>1103.51282051</v>
      </c>
    </row>
    <row r="850" spans="2:7" x14ac:dyDescent="0.2">
      <c r="B850" s="521">
        <v>337126</v>
      </c>
      <c r="C850" s="266" t="s">
        <v>1125</v>
      </c>
      <c r="D850" s="521">
        <v>337</v>
      </c>
      <c r="E850" s="266" t="s">
        <v>1096</v>
      </c>
      <c r="F850" s="522">
        <v>8.4468750000000004</v>
      </c>
      <c r="G850" s="523">
        <v>1235.56081081</v>
      </c>
    </row>
    <row r="851" spans="2:7" x14ac:dyDescent="0.2">
      <c r="B851" s="521">
        <v>337127</v>
      </c>
      <c r="C851" s="266" t="s">
        <v>1126</v>
      </c>
      <c r="D851" s="521">
        <v>337</v>
      </c>
      <c r="E851" s="266" t="s">
        <v>1096</v>
      </c>
      <c r="F851" s="522">
        <v>7.8</v>
      </c>
      <c r="G851" s="523">
        <v>1052.7307692300001</v>
      </c>
    </row>
    <row r="852" spans="2:7" x14ac:dyDescent="0.2">
      <c r="B852" s="524">
        <v>337128</v>
      </c>
      <c r="C852" s="525" t="s">
        <v>1127</v>
      </c>
      <c r="D852" s="524">
        <v>337</v>
      </c>
      <c r="E852" s="525" t="s">
        <v>1096</v>
      </c>
      <c r="F852" s="526">
        <v>7.65</v>
      </c>
      <c r="G852" s="527">
        <v>1269.65714286</v>
      </c>
    </row>
    <row r="853" spans="2:7" x14ac:dyDescent="0.2">
      <c r="B853" s="521">
        <v>415014</v>
      </c>
      <c r="C853" s="266" t="s">
        <v>1128</v>
      </c>
      <c r="D853" s="521">
        <v>415</v>
      </c>
      <c r="E853" s="266" t="s">
        <v>1129</v>
      </c>
      <c r="F853" s="522">
        <v>8.5176470588199997</v>
      </c>
      <c r="G853" s="523">
        <v>1017.625</v>
      </c>
    </row>
    <row r="854" spans="2:7" x14ac:dyDescent="0.2">
      <c r="B854" s="521">
        <v>415019</v>
      </c>
      <c r="C854" s="266" t="s">
        <v>1130</v>
      </c>
      <c r="D854" s="521">
        <v>415</v>
      </c>
      <c r="E854" s="266" t="s">
        <v>1129</v>
      </c>
      <c r="F854" s="522">
        <v>8.1473684210500004</v>
      </c>
      <c r="G854" s="523">
        <v>950.41025640999999</v>
      </c>
    </row>
    <row r="855" spans="2:7" x14ac:dyDescent="0.2">
      <c r="B855" s="521">
        <v>415027</v>
      </c>
      <c r="C855" s="266" t="s">
        <v>1131</v>
      </c>
      <c r="D855" s="521">
        <v>415</v>
      </c>
      <c r="E855" s="266" t="s">
        <v>1129</v>
      </c>
      <c r="F855" s="522">
        <v>7.45</v>
      </c>
      <c r="G855" s="523">
        <v>957.25</v>
      </c>
    </row>
    <row r="856" spans="2:7" x14ac:dyDescent="0.2">
      <c r="B856" s="521">
        <v>415028</v>
      </c>
      <c r="C856" s="266" t="s">
        <v>1132</v>
      </c>
      <c r="D856" s="521">
        <v>415</v>
      </c>
      <c r="E856" s="266" t="s">
        <v>1129</v>
      </c>
      <c r="F856" s="522">
        <v>8.2222222222199992</v>
      </c>
      <c r="G856" s="523">
        <v>1087.08333333</v>
      </c>
    </row>
    <row r="857" spans="2:7" x14ac:dyDescent="0.2">
      <c r="B857" s="521">
        <v>415029</v>
      </c>
      <c r="C857" s="266" t="s">
        <v>1133</v>
      </c>
      <c r="D857" s="521">
        <v>415</v>
      </c>
      <c r="E857" s="266" t="s">
        <v>1129</v>
      </c>
      <c r="F857" s="522">
        <v>9.3249999999999993</v>
      </c>
      <c r="G857" s="523">
        <v>868.33333333300004</v>
      </c>
    </row>
    <row r="858" spans="2:7" x14ac:dyDescent="0.2">
      <c r="B858" s="521">
        <v>415034</v>
      </c>
      <c r="C858" s="266" t="s">
        <v>1134</v>
      </c>
      <c r="D858" s="521">
        <v>415</v>
      </c>
      <c r="E858" s="266" t="s">
        <v>1129</v>
      </c>
      <c r="F858" s="522">
        <v>7.65</v>
      </c>
      <c r="G858" s="523">
        <v>875.89130434799995</v>
      </c>
    </row>
    <row r="859" spans="2:7" x14ac:dyDescent="0.2">
      <c r="B859" s="521">
        <v>415039</v>
      </c>
      <c r="C859" s="266" t="s">
        <v>1135</v>
      </c>
      <c r="D859" s="521">
        <v>415</v>
      </c>
      <c r="E859" s="266" t="s">
        <v>1129</v>
      </c>
      <c r="F859" s="522">
        <v>7.7750000000000004</v>
      </c>
      <c r="G859" s="523">
        <v>1156</v>
      </c>
    </row>
    <row r="860" spans="2:7" x14ac:dyDescent="0.2">
      <c r="B860" s="521">
        <v>415048</v>
      </c>
      <c r="C860" s="266" t="s">
        <v>1136</v>
      </c>
      <c r="D860" s="521">
        <v>415</v>
      </c>
      <c r="E860" s="266" t="s">
        <v>1129</v>
      </c>
      <c r="F860" s="522">
        <v>7.5</v>
      </c>
      <c r="G860" s="523">
        <v>931.41666666699996</v>
      </c>
    </row>
    <row r="861" spans="2:7" x14ac:dyDescent="0.2">
      <c r="B861" s="521">
        <v>415050</v>
      </c>
      <c r="C861" s="266" t="s">
        <v>1137</v>
      </c>
      <c r="D861" s="521">
        <v>415</v>
      </c>
      <c r="E861" s="266" t="s">
        <v>1129</v>
      </c>
      <c r="F861" s="522">
        <v>8.5380952381000004</v>
      </c>
      <c r="G861" s="523">
        <v>923.54237288100001</v>
      </c>
    </row>
    <row r="862" spans="2:7" x14ac:dyDescent="0.2">
      <c r="B862" s="521">
        <v>415053</v>
      </c>
      <c r="C862" s="266" t="s">
        <v>1138</v>
      </c>
      <c r="D862" s="521">
        <v>415</v>
      </c>
      <c r="E862" s="266" t="s">
        <v>1129</v>
      </c>
      <c r="F862" s="522">
        <v>7.55</v>
      </c>
      <c r="G862" s="523">
        <v>970.10989011000004</v>
      </c>
    </row>
    <row r="863" spans="2:7" x14ac:dyDescent="0.2">
      <c r="B863" s="521">
        <v>415058</v>
      </c>
      <c r="C863" s="266" t="s">
        <v>1139</v>
      </c>
      <c r="D863" s="521">
        <v>415</v>
      </c>
      <c r="E863" s="266" t="s">
        <v>1129</v>
      </c>
      <c r="F863" s="522">
        <v>7.35</v>
      </c>
      <c r="G863" s="523">
        <v>881.421875</v>
      </c>
    </row>
    <row r="864" spans="2:7" x14ac:dyDescent="0.2">
      <c r="B864" s="521">
        <v>415059</v>
      </c>
      <c r="C864" s="266" t="s">
        <v>1140</v>
      </c>
      <c r="D864" s="521">
        <v>415</v>
      </c>
      <c r="E864" s="266" t="s">
        <v>1129</v>
      </c>
      <c r="F864" s="522">
        <v>8.2263157894700001</v>
      </c>
      <c r="G864" s="523">
        <v>913.490566038</v>
      </c>
    </row>
    <row r="865" spans="1:7" x14ac:dyDescent="0.2">
      <c r="B865" s="521">
        <v>415060</v>
      </c>
      <c r="C865" s="266" t="s">
        <v>1141</v>
      </c>
      <c r="D865" s="521">
        <v>415</v>
      </c>
      <c r="E865" s="266" t="s">
        <v>1129</v>
      </c>
      <c r="F865" s="522">
        <v>9.4</v>
      </c>
      <c r="G865" s="523">
        <v>820.16</v>
      </c>
    </row>
    <row r="866" spans="1:7" x14ac:dyDescent="0.2">
      <c r="B866" s="521">
        <v>415061</v>
      </c>
      <c r="C866" s="266" t="s">
        <v>1142</v>
      </c>
      <c r="D866" s="521">
        <v>415</v>
      </c>
      <c r="E866" s="266" t="s">
        <v>1129</v>
      </c>
      <c r="F866" s="522">
        <v>8.4499999999999993</v>
      </c>
      <c r="G866" s="523">
        <v>877.679389313</v>
      </c>
    </row>
    <row r="867" spans="1:7" x14ac:dyDescent="0.2">
      <c r="B867" s="521">
        <v>415062</v>
      </c>
      <c r="C867" s="266" t="s">
        <v>1143</v>
      </c>
      <c r="D867" s="521">
        <v>415</v>
      </c>
      <c r="E867" s="266" t="s">
        <v>1129</v>
      </c>
      <c r="F867" s="522">
        <v>9.5500000000000007</v>
      </c>
      <c r="G867" s="523">
        <v>842.83333333300004</v>
      </c>
    </row>
    <row r="868" spans="1:7" x14ac:dyDescent="0.2">
      <c r="B868" s="521">
        <v>415073</v>
      </c>
      <c r="C868" s="266" t="s">
        <v>1144</v>
      </c>
      <c r="D868" s="521">
        <v>415</v>
      </c>
      <c r="E868" s="266" t="s">
        <v>1129</v>
      </c>
      <c r="F868" s="522">
        <v>7.15</v>
      </c>
      <c r="G868" s="523">
        <v>938.73684210500005</v>
      </c>
    </row>
    <row r="869" spans="1:7" x14ac:dyDescent="0.2">
      <c r="B869" s="521">
        <v>415078</v>
      </c>
      <c r="C869" s="266" t="s">
        <v>1145</v>
      </c>
      <c r="D869" s="521">
        <v>415</v>
      </c>
      <c r="E869" s="266" t="s">
        <v>1129</v>
      </c>
      <c r="F869" s="522">
        <v>8.1142857142900002</v>
      </c>
      <c r="G869" s="523">
        <v>1055.69387755</v>
      </c>
    </row>
    <row r="870" spans="1:7" x14ac:dyDescent="0.2">
      <c r="A870" s="453"/>
      <c r="B870" s="521">
        <v>415080</v>
      </c>
      <c r="C870" s="266" t="s">
        <v>1146</v>
      </c>
      <c r="D870" s="521">
        <v>415</v>
      </c>
      <c r="E870" s="266" t="s">
        <v>1129</v>
      </c>
      <c r="F870" s="522">
        <v>9.5</v>
      </c>
      <c r="G870" s="523">
        <v>800.5</v>
      </c>
    </row>
    <row r="871" spans="1:7" x14ac:dyDescent="0.2">
      <c r="B871" s="521">
        <v>415085</v>
      </c>
      <c r="C871" s="266" t="s">
        <v>1147</v>
      </c>
      <c r="D871" s="521">
        <v>415</v>
      </c>
      <c r="E871" s="266" t="s">
        <v>1129</v>
      </c>
      <c r="F871" s="522">
        <v>7.8230769230800004</v>
      </c>
      <c r="G871" s="523">
        <v>836.42647058800003</v>
      </c>
    </row>
    <row r="872" spans="1:7" x14ac:dyDescent="0.2">
      <c r="B872" s="521">
        <v>415086</v>
      </c>
      <c r="C872" s="266" t="s">
        <v>1148</v>
      </c>
      <c r="D872" s="521">
        <v>415</v>
      </c>
      <c r="E872" s="266" t="s">
        <v>1129</v>
      </c>
      <c r="F872" s="522">
        <v>7.41</v>
      </c>
      <c r="G872" s="523">
        <v>1073.90909091</v>
      </c>
    </row>
    <row r="873" spans="1:7" x14ac:dyDescent="0.2">
      <c r="B873" s="521">
        <v>415087</v>
      </c>
      <c r="C873" s="266" t="s">
        <v>1149</v>
      </c>
      <c r="D873" s="521">
        <v>415</v>
      </c>
      <c r="E873" s="266" t="s">
        <v>1129</v>
      </c>
      <c r="F873" s="522">
        <v>9.1333333333300004</v>
      </c>
      <c r="G873" s="523">
        <v>859.54545454499998</v>
      </c>
    </row>
    <row r="874" spans="1:7" x14ac:dyDescent="0.2">
      <c r="B874" s="521">
        <v>415088</v>
      </c>
      <c r="C874" s="266" t="s">
        <v>1150</v>
      </c>
      <c r="D874" s="521">
        <v>415</v>
      </c>
      <c r="E874" s="266" t="s">
        <v>1129</v>
      </c>
      <c r="F874" s="522">
        <v>7.9266666666700001</v>
      </c>
      <c r="G874" s="523">
        <v>1111.625</v>
      </c>
    </row>
    <row r="875" spans="1:7" x14ac:dyDescent="0.2">
      <c r="B875" s="521">
        <v>415089</v>
      </c>
      <c r="C875" s="266" t="s">
        <v>1151</v>
      </c>
      <c r="D875" s="521">
        <v>415</v>
      </c>
      <c r="E875" s="266" t="s">
        <v>1129</v>
      </c>
      <c r="F875" s="522">
        <v>7.48888888889</v>
      </c>
      <c r="G875" s="523">
        <v>974.25</v>
      </c>
    </row>
    <row r="876" spans="1:7" x14ac:dyDescent="0.2">
      <c r="B876" s="521">
        <v>415090</v>
      </c>
      <c r="C876" s="266" t="s">
        <v>1152</v>
      </c>
      <c r="D876" s="521">
        <v>415</v>
      </c>
      <c r="E876" s="266" t="s">
        <v>1129</v>
      </c>
      <c r="F876" s="522">
        <v>7.37</v>
      </c>
      <c r="G876" s="523">
        <v>933.62686567200001</v>
      </c>
    </row>
    <row r="877" spans="1:7" x14ac:dyDescent="0.2">
      <c r="B877" s="521">
        <v>415091</v>
      </c>
      <c r="C877" s="266" t="s">
        <v>1153</v>
      </c>
      <c r="D877" s="521">
        <v>415</v>
      </c>
      <c r="E877" s="266" t="s">
        <v>1129</v>
      </c>
      <c r="F877" s="522">
        <v>7.4066666666699996</v>
      </c>
      <c r="G877" s="523">
        <v>1030.0930232600001</v>
      </c>
    </row>
    <row r="878" spans="1:7" x14ac:dyDescent="0.2">
      <c r="B878" s="521">
        <v>415092</v>
      </c>
      <c r="C878" s="266" t="s">
        <v>1154</v>
      </c>
      <c r="D878" s="521">
        <v>415</v>
      </c>
      <c r="E878" s="266" t="s">
        <v>1129</v>
      </c>
      <c r="F878" s="522">
        <v>7.8952380952399999</v>
      </c>
      <c r="G878" s="523">
        <v>981.10714285699999</v>
      </c>
    </row>
    <row r="879" spans="1:7" x14ac:dyDescent="0.2">
      <c r="B879" s="524">
        <v>415093</v>
      </c>
      <c r="C879" s="525" t="s">
        <v>1155</v>
      </c>
      <c r="D879" s="524">
        <v>415</v>
      </c>
      <c r="E879" s="525" t="s">
        <v>1129</v>
      </c>
      <c r="F879" s="526">
        <v>7.9450000000000003</v>
      </c>
      <c r="G879" s="527">
        <v>1035.9595959599999</v>
      </c>
    </row>
    <row r="880" spans="1:7" x14ac:dyDescent="0.2">
      <c r="B880" s="521">
        <v>416006</v>
      </c>
      <c r="C880" s="266" t="s">
        <v>1156</v>
      </c>
      <c r="D880" s="521">
        <v>416</v>
      </c>
      <c r="E880" s="266" t="s">
        <v>1157</v>
      </c>
      <c r="F880" s="522">
        <v>8.75</v>
      </c>
      <c r="G880" s="523">
        <v>835.7</v>
      </c>
    </row>
    <row r="881" spans="2:7" x14ac:dyDescent="0.2">
      <c r="B881" s="521">
        <v>416009</v>
      </c>
      <c r="C881" s="266" t="s">
        <v>1158</v>
      </c>
      <c r="D881" s="521">
        <v>416</v>
      </c>
      <c r="E881" s="266" t="s">
        <v>1157</v>
      </c>
      <c r="F881" s="522">
        <v>9</v>
      </c>
      <c r="G881" s="523">
        <v>856.61111111100001</v>
      </c>
    </row>
    <row r="882" spans="2:7" x14ac:dyDescent="0.2">
      <c r="B882" s="521">
        <v>416011</v>
      </c>
      <c r="C882" s="266" t="s">
        <v>1159</v>
      </c>
      <c r="D882" s="521">
        <v>416</v>
      </c>
      <c r="E882" s="266" t="s">
        <v>1157</v>
      </c>
      <c r="F882" s="522">
        <v>9</v>
      </c>
      <c r="G882" s="523">
        <v>789.13043478300006</v>
      </c>
    </row>
    <row r="883" spans="2:7" x14ac:dyDescent="0.2">
      <c r="B883" s="521">
        <v>416015</v>
      </c>
      <c r="C883" s="266" t="s">
        <v>1160</v>
      </c>
      <c r="D883" s="521">
        <v>416</v>
      </c>
      <c r="E883" s="266" t="s">
        <v>1157</v>
      </c>
      <c r="F883" s="522">
        <v>8.8444444444400006</v>
      </c>
      <c r="G883" s="523">
        <v>822.08695652200004</v>
      </c>
    </row>
    <row r="884" spans="2:7" x14ac:dyDescent="0.2">
      <c r="B884" s="521">
        <v>416018</v>
      </c>
      <c r="C884" s="266" t="s">
        <v>1161</v>
      </c>
      <c r="D884" s="521">
        <v>416</v>
      </c>
      <c r="E884" s="266" t="s">
        <v>1157</v>
      </c>
      <c r="F884" s="522">
        <v>8.8000000000000007</v>
      </c>
      <c r="G884" s="523">
        <v>816.19047619000003</v>
      </c>
    </row>
    <row r="885" spans="2:7" x14ac:dyDescent="0.2">
      <c r="B885" s="521">
        <v>416022</v>
      </c>
      <c r="C885" s="266" t="s">
        <v>1162</v>
      </c>
      <c r="D885" s="521">
        <v>416</v>
      </c>
      <c r="E885" s="266" t="s">
        <v>1157</v>
      </c>
      <c r="F885" s="522">
        <v>9.4250000000000007</v>
      </c>
      <c r="G885" s="523">
        <v>807.90909090900004</v>
      </c>
    </row>
    <row r="886" spans="2:7" x14ac:dyDescent="0.2">
      <c r="B886" s="521">
        <v>416023</v>
      </c>
      <c r="C886" s="266" t="s">
        <v>1163</v>
      </c>
      <c r="D886" s="521">
        <v>416</v>
      </c>
      <c r="E886" s="266" t="s">
        <v>1157</v>
      </c>
      <c r="F886" s="522">
        <v>9.35</v>
      </c>
      <c r="G886" s="523">
        <v>790.72972973000003</v>
      </c>
    </row>
    <row r="887" spans="2:7" x14ac:dyDescent="0.2">
      <c r="B887" s="521">
        <v>416025</v>
      </c>
      <c r="C887" s="266" t="s">
        <v>1164</v>
      </c>
      <c r="D887" s="521">
        <v>416</v>
      </c>
      <c r="E887" s="266" t="s">
        <v>1157</v>
      </c>
      <c r="F887" s="522">
        <v>7.9880000000000004</v>
      </c>
      <c r="G887" s="523">
        <v>918.82051282099997</v>
      </c>
    </row>
    <row r="888" spans="2:7" x14ac:dyDescent="0.2">
      <c r="B888" s="521">
        <v>416026</v>
      </c>
      <c r="C888" s="266" t="s">
        <v>1165</v>
      </c>
      <c r="D888" s="521">
        <v>416</v>
      </c>
      <c r="E888" s="266" t="s">
        <v>1157</v>
      </c>
      <c r="F888" s="522">
        <v>9.1</v>
      </c>
      <c r="G888" s="523">
        <v>792.72727272700001</v>
      </c>
    </row>
    <row r="889" spans="2:7" x14ac:dyDescent="0.2">
      <c r="B889" s="521">
        <v>416031</v>
      </c>
      <c r="C889" s="266" t="s">
        <v>1166</v>
      </c>
      <c r="D889" s="521">
        <v>416</v>
      </c>
      <c r="E889" s="266" t="s">
        <v>1157</v>
      </c>
      <c r="F889" s="522">
        <v>8.9</v>
      </c>
      <c r="G889" s="523">
        <v>815.69230769199999</v>
      </c>
    </row>
    <row r="890" spans="2:7" x14ac:dyDescent="0.2">
      <c r="B890" s="521">
        <v>416036</v>
      </c>
      <c r="C890" s="266" t="s">
        <v>1167</v>
      </c>
      <c r="D890" s="521">
        <v>416</v>
      </c>
      <c r="E890" s="266" t="s">
        <v>1157</v>
      </c>
      <c r="F890" s="522">
        <v>8.9</v>
      </c>
      <c r="G890" s="523">
        <v>807.20512820500005</v>
      </c>
    </row>
    <row r="891" spans="2:7" x14ac:dyDescent="0.2">
      <c r="B891" s="521">
        <v>416041</v>
      </c>
      <c r="C891" s="266" t="s">
        <v>1168</v>
      </c>
      <c r="D891" s="521">
        <v>416</v>
      </c>
      <c r="E891" s="266" t="s">
        <v>1157</v>
      </c>
      <c r="F891" s="522">
        <v>9.0500000000000007</v>
      </c>
      <c r="G891" s="523">
        <v>796.320895522</v>
      </c>
    </row>
    <row r="892" spans="2:7" x14ac:dyDescent="0.2">
      <c r="B892" s="521">
        <v>416048</v>
      </c>
      <c r="C892" s="266" t="s">
        <v>1169</v>
      </c>
      <c r="D892" s="521">
        <v>416</v>
      </c>
      <c r="E892" s="266" t="s">
        <v>1157</v>
      </c>
      <c r="F892" s="522">
        <v>8.9499999999999993</v>
      </c>
      <c r="G892" s="523">
        <v>784.19178082200006</v>
      </c>
    </row>
    <row r="893" spans="2:7" x14ac:dyDescent="0.2">
      <c r="B893" s="521">
        <v>416049</v>
      </c>
      <c r="C893" s="266" t="s">
        <v>1170</v>
      </c>
      <c r="D893" s="521">
        <v>416</v>
      </c>
      <c r="E893" s="266" t="s">
        <v>1157</v>
      </c>
      <c r="F893" s="522">
        <v>8.9625000000000004</v>
      </c>
      <c r="G893" s="523">
        <v>842.61904761899996</v>
      </c>
    </row>
    <row r="894" spans="2:7" x14ac:dyDescent="0.2">
      <c r="B894" s="524">
        <v>416050</v>
      </c>
      <c r="C894" s="525" t="s">
        <v>1171</v>
      </c>
      <c r="D894" s="524">
        <v>416</v>
      </c>
      <c r="E894" s="525" t="s">
        <v>1157</v>
      </c>
      <c r="F894" s="526">
        <v>8.9</v>
      </c>
      <c r="G894" s="527">
        <v>840.02127659600001</v>
      </c>
    </row>
    <row r="895" spans="2:7" x14ac:dyDescent="0.2">
      <c r="B895" s="521">
        <v>417002</v>
      </c>
      <c r="C895" s="266" t="s">
        <v>1172</v>
      </c>
      <c r="D895" s="521">
        <v>417</v>
      </c>
      <c r="E895" s="266" t="s">
        <v>1173</v>
      </c>
      <c r="F895" s="522">
        <v>7.5720000000000001</v>
      </c>
      <c r="G895" s="523">
        <v>909.38793103399996</v>
      </c>
    </row>
    <row r="896" spans="2:7" x14ac:dyDescent="0.2">
      <c r="B896" s="521">
        <v>417008</v>
      </c>
      <c r="C896" s="266" t="s">
        <v>1174</v>
      </c>
      <c r="D896" s="521">
        <v>417</v>
      </c>
      <c r="E896" s="266" t="s">
        <v>1173</v>
      </c>
      <c r="F896" s="522">
        <v>7.6863636363600003</v>
      </c>
      <c r="G896" s="523">
        <v>922.96078431399997</v>
      </c>
    </row>
    <row r="897" spans="1:7" x14ac:dyDescent="0.2">
      <c r="B897" s="521">
        <v>417010</v>
      </c>
      <c r="C897" s="266" t="s">
        <v>1175</v>
      </c>
      <c r="D897" s="521">
        <v>417</v>
      </c>
      <c r="E897" s="266" t="s">
        <v>1173</v>
      </c>
      <c r="F897" s="522">
        <v>6.9</v>
      </c>
      <c r="G897" s="523">
        <v>1012.92857143</v>
      </c>
    </row>
    <row r="898" spans="1:7" x14ac:dyDescent="0.2">
      <c r="B898" s="521">
        <v>417013</v>
      </c>
      <c r="C898" s="266" t="s">
        <v>1176</v>
      </c>
      <c r="D898" s="521">
        <v>417</v>
      </c>
      <c r="E898" s="266" t="s">
        <v>1173</v>
      </c>
      <c r="F898" s="522">
        <v>7.3</v>
      </c>
      <c r="G898" s="523">
        <v>1006.30597015</v>
      </c>
    </row>
    <row r="899" spans="1:7" x14ac:dyDescent="0.2">
      <c r="B899" s="521">
        <v>417014</v>
      </c>
      <c r="C899" s="266" t="s">
        <v>1177</v>
      </c>
      <c r="D899" s="521">
        <v>417</v>
      </c>
      <c r="E899" s="266" t="s">
        <v>1173</v>
      </c>
      <c r="F899" s="522">
        <v>7.8</v>
      </c>
      <c r="G899" s="523">
        <v>916.5</v>
      </c>
    </row>
    <row r="900" spans="1:7" x14ac:dyDescent="0.2">
      <c r="A900" s="453"/>
      <c r="B900" s="521">
        <v>417015</v>
      </c>
      <c r="C900" s="266" t="s">
        <v>1178</v>
      </c>
      <c r="D900" s="521">
        <v>417</v>
      </c>
      <c r="E900" s="266" t="s">
        <v>1173</v>
      </c>
      <c r="F900" s="522">
        <v>7.92</v>
      </c>
      <c r="G900" s="523">
        <v>896.16666666699996</v>
      </c>
    </row>
    <row r="901" spans="1:7" x14ac:dyDescent="0.2">
      <c r="B901" s="521">
        <v>417016</v>
      </c>
      <c r="C901" s="266" t="s">
        <v>1179</v>
      </c>
      <c r="D901" s="521">
        <v>417</v>
      </c>
      <c r="E901" s="266" t="s">
        <v>1173</v>
      </c>
      <c r="F901" s="522">
        <v>7.4538461538499998</v>
      </c>
      <c r="G901" s="523">
        <v>940.56521739100003</v>
      </c>
    </row>
    <row r="902" spans="1:7" x14ac:dyDescent="0.2">
      <c r="B902" s="521">
        <v>417022</v>
      </c>
      <c r="C902" s="266" t="s">
        <v>1180</v>
      </c>
      <c r="D902" s="521">
        <v>417</v>
      </c>
      <c r="E902" s="266" t="s">
        <v>1173</v>
      </c>
      <c r="F902" s="522">
        <v>8.15</v>
      </c>
      <c r="G902" s="523">
        <v>890.23404255299999</v>
      </c>
    </row>
    <row r="903" spans="1:7" x14ac:dyDescent="0.2">
      <c r="B903" s="521">
        <v>417023</v>
      </c>
      <c r="C903" s="266" t="s">
        <v>1181</v>
      </c>
      <c r="D903" s="521">
        <v>417</v>
      </c>
      <c r="E903" s="266" t="s">
        <v>1173</v>
      </c>
      <c r="F903" s="522">
        <v>8.6</v>
      </c>
      <c r="G903" s="523">
        <v>858.14285714300001</v>
      </c>
    </row>
    <row r="904" spans="1:7" x14ac:dyDescent="0.2">
      <c r="B904" s="521">
        <v>417025</v>
      </c>
      <c r="C904" s="266" t="s">
        <v>1182</v>
      </c>
      <c r="D904" s="521">
        <v>417</v>
      </c>
      <c r="E904" s="266" t="s">
        <v>1173</v>
      </c>
      <c r="F904" s="522">
        <v>8.6</v>
      </c>
      <c r="G904" s="523">
        <v>838.86585365899998</v>
      </c>
    </row>
    <row r="905" spans="1:7" x14ac:dyDescent="0.2">
      <c r="B905" s="521">
        <v>417029</v>
      </c>
      <c r="C905" s="266" t="s">
        <v>1183</v>
      </c>
      <c r="D905" s="521">
        <v>417</v>
      </c>
      <c r="E905" s="266" t="s">
        <v>1173</v>
      </c>
      <c r="F905" s="522">
        <v>6.97</v>
      </c>
      <c r="G905" s="523">
        <v>1014.2</v>
      </c>
    </row>
    <row r="906" spans="1:7" x14ac:dyDescent="0.2">
      <c r="B906" s="521">
        <v>417031</v>
      </c>
      <c r="C906" s="266" t="s">
        <v>1184</v>
      </c>
      <c r="D906" s="521">
        <v>417</v>
      </c>
      <c r="E906" s="266" t="s">
        <v>1173</v>
      </c>
      <c r="F906" s="522">
        <v>7.9521739130400002</v>
      </c>
      <c r="G906" s="523">
        <v>896.75824175800005</v>
      </c>
    </row>
    <row r="907" spans="1:7" x14ac:dyDescent="0.2">
      <c r="B907" s="521">
        <v>417036</v>
      </c>
      <c r="C907" s="266" t="s">
        <v>1185</v>
      </c>
      <c r="D907" s="521">
        <v>417</v>
      </c>
      <c r="E907" s="266" t="s">
        <v>1173</v>
      </c>
      <c r="F907" s="522">
        <v>7.68</v>
      </c>
      <c r="G907" s="523">
        <v>953.66666666699996</v>
      </c>
    </row>
    <row r="908" spans="1:7" x14ac:dyDescent="0.2">
      <c r="B908" s="521">
        <v>417044</v>
      </c>
      <c r="C908" s="266" t="s">
        <v>1186</v>
      </c>
      <c r="D908" s="521">
        <v>417</v>
      </c>
      <c r="E908" s="266" t="s">
        <v>1173</v>
      </c>
      <c r="F908" s="522">
        <v>7.15</v>
      </c>
      <c r="G908" s="523">
        <v>1028.62745098</v>
      </c>
    </row>
    <row r="909" spans="1:7" x14ac:dyDescent="0.2">
      <c r="B909" s="521">
        <v>417045</v>
      </c>
      <c r="C909" s="266" t="s">
        <v>1187</v>
      </c>
      <c r="D909" s="521">
        <v>417</v>
      </c>
      <c r="E909" s="266" t="s">
        <v>1173</v>
      </c>
      <c r="F909" s="522">
        <v>7.1222222222199996</v>
      </c>
      <c r="G909" s="523">
        <v>1010.66666667</v>
      </c>
    </row>
    <row r="910" spans="1:7" x14ac:dyDescent="0.2">
      <c r="B910" s="521">
        <v>417047</v>
      </c>
      <c r="C910" s="266" t="s">
        <v>1188</v>
      </c>
      <c r="D910" s="521">
        <v>417</v>
      </c>
      <c r="E910" s="266" t="s">
        <v>1173</v>
      </c>
      <c r="F910" s="522">
        <v>6.9833333333300001</v>
      </c>
      <c r="G910" s="523">
        <v>1052.1212121200001</v>
      </c>
    </row>
    <row r="911" spans="1:7" x14ac:dyDescent="0.2">
      <c r="B911" s="521">
        <v>417051</v>
      </c>
      <c r="C911" s="266" t="s">
        <v>1189</v>
      </c>
      <c r="D911" s="521">
        <v>417</v>
      </c>
      <c r="E911" s="266" t="s">
        <v>1173</v>
      </c>
      <c r="F911" s="522">
        <v>8.6999999999999993</v>
      </c>
      <c r="G911" s="523">
        <v>794.51282051299995</v>
      </c>
    </row>
    <row r="912" spans="1:7" x14ac:dyDescent="0.2">
      <c r="B912" s="521">
        <v>417052</v>
      </c>
      <c r="C912" s="266" t="s">
        <v>1190</v>
      </c>
      <c r="D912" s="521">
        <v>417</v>
      </c>
      <c r="E912" s="266" t="s">
        <v>1173</v>
      </c>
      <c r="F912" s="522">
        <v>7.0833333333299997</v>
      </c>
      <c r="G912" s="523">
        <v>1001</v>
      </c>
    </row>
    <row r="913" spans="2:7" x14ac:dyDescent="0.2">
      <c r="B913" s="521">
        <v>417054</v>
      </c>
      <c r="C913" s="266" t="s">
        <v>1191</v>
      </c>
      <c r="D913" s="521">
        <v>417</v>
      </c>
      <c r="E913" s="266" t="s">
        <v>1173</v>
      </c>
      <c r="F913" s="522">
        <v>8.1</v>
      </c>
      <c r="G913" s="523">
        <v>935.07608695700003</v>
      </c>
    </row>
    <row r="914" spans="2:7" x14ac:dyDescent="0.2">
      <c r="B914" s="521">
        <v>417057</v>
      </c>
      <c r="C914" s="266" t="s">
        <v>1192</v>
      </c>
      <c r="D914" s="521">
        <v>417</v>
      </c>
      <c r="E914" s="266" t="s">
        <v>1173</v>
      </c>
      <c r="F914" s="522">
        <v>7.1642857142900001</v>
      </c>
      <c r="G914" s="523">
        <v>966.875</v>
      </c>
    </row>
    <row r="915" spans="2:7" x14ac:dyDescent="0.2">
      <c r="B915" s="521">
        <v>417063</v>
      </c>
      <c r="C915" s="266" t="s">
        <v>1193</v>
      </c>
      <c r="D915" s="521">
        <v>417</v>
      </c>
      <c r="E915" s="266" t="s">
        <v>1173</v>
      </c>
      <c r="F915" s="522">
        <v>7.1833333333300002</v>
      </c>
      <c r="G915" s="523">
        <v>966.85714285699999</v>
      </c>
    </row>
    <row r="916" spans="2:7" x14ac:dyDescent="0.2">
      <c r="B916" s="521">
        <v>417071</v>
      </c>
      <c r="C916" s="266" t="s">
        <v>1194</v>
      </c>
      <c r="D916" s="521">
        <v>417</v>
      </c>
      <c r="E916" s="266" t="s">
        <v>1173</v>
      </c>
      <c r="F916" s="522">
        <v>7.3</v>
      </c>
      <c r="G916" s="523">
        <v>972.5</v>
      </c>
    </row>
    <row r="917" spans="2:7" x14ac:dyDescent="0.2">
      <c r="B917" s="521">
        <v>417075</v>
      </c>
      <c r="C917" s="266" t="s">
        <v>1195</v>
      </c>
      <c r="D917" s="521">
        <v>417</v>
      </c>
      <c r="E917" s="266" t="s">
        <v>1173</v>
      </c>
      <c r="F917" s="522">
        <v>7.2909090909099996</v>
      </c>
      <c r="G917" s="523">
        <v>893.45454545500002</v>
      </c>
    </row>
    <row r="918" spans="2:7" x14ac:dyDescent="0.2">
      <c r="B918" s="521">
        <v>417078</v>
      </c>
      <c r="C918" s="266" t="s">
        <v>1196</v>
      </c>
      <c r="D918" s="521">
        <v>417</v>
      </c>
      <c r="E918" s="266" t="s">
        <v>1173</v>
      </c>
      <c r="F918" s="522">
        <v>7.7750000000000004</v>
      </c>
      <c r="G918" s="523">
        <v>929.33333333300004</v>
      </c>
    </row>
    <row r="919" spans="2:7" x14ac:dyDescent="0.2">
      <c r="B919" s="524">
        <v>417079</v>
      </c>
      <c r="C919" s="525" t="s">
        <v>1197</v>
      </c>
      <c r="D919" s="524">
        <v>417</v>
      </c>
      <c r="E919" s="525" t="s">
        <v>1173</v>
      </c>
      <c r="F919" s="526">
        <v>7.4</v>
      </c>
      <c r="G919" s="527">
        <v>1013.14705882</v>
      </c>
    </row>
    <row r="920" spans="2:7" x14ac:dyDescent="0.2">
      <c r="B920" s="528">
        <v>421000</v>
      </c>
      <c r="C920" s="529" t="s">
        <v>1198</v>
      </c>
      <c r="D920" s="528">
        <v>421</v>
      </c>
      <c r="E920" s="529" t="s">
        <v>1199</v>
      </c>
      <c r="F920" s="530">
        <v>8.35</v>
      </c>
      <c r="G920" s="531">
        <v>796.430769231</v>
      </c>
    </row>
    <row r="921" spans="2:7" x14ac:dyDescent="0.2">
      <c r="B921" s="521">
        <v>425002</v>
      </c>
      <c r="C921" s="266" t="s">
        <v>1200</v>
      </c>
      <c r="D921" s="521">
        <v>425</v>
      </c>
      <c r="E921" s="266" t="s">
        <v>1201</v>
      </c>
      <c r="F921" s="522">
        <v>8</v>
      </c>
      <c r="G921" s="523">
        <v>844.09876543200005</v>
      </c>
    </row>
    <row r="922" spans="2:7" x14ac:dyDescent="0.2">
      <c r="B922" s="521">
        <v>425004</v>
      </c>
      <c r="C922" s="266" t="s">
        <v>1202</v>
      </c>
      <c r="D922" s="521">
        <v>425</v>
      </c>
      <c r="E922" s="266" t="s">
        <v>1201</v>
      </c>
      <c r="F922" s="522">
        <v>8.1999999999999993</v>
      </c>
      <c r="G922" s="523">
        <v>823.81818181799997</v>
      </c>
    </row>
    <row r="923" spans="2:7" x14ac:dyDescent="0.2">
      <c r="B923" s="521">
        <v>425005</v>
      </c>
      <c r="C923" s="266" t="s">
        <v>1203</v>
      </c>
      <c r="D923" s="521">
        <v>425</v>
      </c>
      <c r="E923" s="266" t="s">
        <v>1201</v>
      </c>
      <c r="F923" s="522">
        <v>7.9</v>
      </c>
      <c r="G923" s="523">
        <v>873.22580645200003</v>
      </c>
    </row>
    <row r="924" spans="2:7" x14ac:dyDescent="0.2">
      <c r="B924" s="521">
        <v>425008</v>
      </c>
      <c r="C924" s="266" t="s">
        <v>1204</v>
      </c>
      <c r="D924" s="521">
        <v>425</v>
      </c>
      <c r="E924" s="266" t="s">
        <v>1201</v>
      </c>
      <c r="F924" s="522">
        <v>8.2249999999999996</v>
      </c>
      <c r="G924" s="523">
        <v>978.54945054899997</v>
      </c>
    </row>
    <row r="925" spans="2:7" x14ac:dyDescent="0.2">
      <c r="B925" s="521">
        <v>425011</v>
      </c>
      <c r="C925" s="266" t="s">
        <v>1205</v>
      </c>
      <c r="D925" s="521">
        <v>425</v>
      </c>
      <c r="E925" s="266" t="s">
        <v>1201</v>
      </c>
      <c r="F925" s="522">
        <v>8.5500000000000007</v>
      </c>
      <c r="G925" s="523">
        <v>747.21212121200006</v>
      </c>
    </row>
    <row r="926" spans="2:7" x14ac:dyDescent="0.2">
      <c r="B926" s="521">
        <v>425013</v>
      </c>
      <c r="C926" s="266" t="s">
        <v>1206</v>
      </c>
      <c r="D926" s="521">
        <v>425</v>
      </c>
      <c r="E926" s="266" t="s">
        <v>1201</v>
      </c>
      <c r="F926" s="522">
        <v>8.1999999999999993</v>
      </c>
      <c r="G926" s="523">
        <v>808.33333333300004</v>
      </c>
    </row>
    <row r="927" spans="2:7" x14ac:dyDescent="0.2">
      <c r="B927" s="521">
        <v>425014</v>
      </c>
      <c r="C927" s="266" t="s">
        <v>1207</v>
      </c>
      <c r="D927" s="521">
        <v>425</v>
      </c>
      <c r="E927" s="266" t="s">
        <v>1201</v>
      </c>
      <c r="F927" s="522">
        <v>8.1999999999999993</v>
      </c>
      <c r="G927" s="523">
        <v>847.8</v>
      </c>
    </row>
    <row r="928" spans="2:7" x14ac:dyDescent="0.2">
      <c r="B928" s="521">
        <v>425017</v>
      </c>
      <c r="C928" s="266" t="s">
        <v>1208</v>
      </c>
      <c r="D928" s="521">
        <v>425</v>
      </c>
      <c r="E928" s="266" t="s">
        <v>1201</v>
      </c>
      <c r="F928" s="522">
        <v>7.85</v>
      </c>
      <c r="G928" s="523">
        <v>928.37209302300005</v>
      </c>
    </row>
    <row r="929" spans="1:7" x14ac:dyDescent="0.2">
      <c r="B929" s="521">
        <v>425019</v>
      </c>
      <c r="C929" s="266" t="s">
        <v>1209</v>
      </c>
      <c r="D929" s="521">
        <v>425</v>
      </c>
      <c r="E929" s="266" t="s">
        <v>1201</v>
      </c>
      <c r="F929" s="522">
        <v>8.3000000000000007</v>
      </c>
      <c r="G929" s="523">
        <v>808.85714285699999</v>
      </c>
    </row>
    <row r="930" spans="1:7" x14ac:dyDescent="0.2">
      <c r="A930" s="453"/>
      <c r="B930" s="521">
        <v>425020</v>
      </c>
      <c r="C930" s="266" t="s">
        <v>1210</v>
      </c>
      <c r="D930" s="521">
        <v>425</v>
      </c>
      <c r="E930" s="266" t="s">
        <v>1201</v>
      </c>
      <c r="F930" s="522">
        <v>8.0500000000000007</v>
      </c>
      <c r="G930" s="523">
        <v>867.21367521399998</v>
      </c>
    </row>
    <row r="931" spans="1:7" x14ac:dyDescent="0.2">
      <c r="B931" s="521">
        <v>425022</v>
      </c>
      <c r="C931" s="266" t="s">
        <v>1211</v>
      </c>
      <c r="D931" s="521">
        <v>425</v>
      </c>
      <c r="E931" s="266" t="s">
        <v>1201</v>
      </c>
      <c r="F931" s="522">
        <v>8.1999999999999993</v>
      </c>
      <c r="G931" s="523">
        <v>817.16666666699996</v>
      </c>
    </row>
    <row r="932" spans="1:7" x14ac:dyDescent="0.2">
      <c r="B932" s="521">
        <v>425024</v>
      </c>
      <c r="C932" s="266" t="s">
        <v>1212</v>
      </c>
      <c r="D932" s="521">
        <v>425</v>
      </c>
      <c r="E932" s="266" t="s">
        <v>1201</v>
      </c>
      <c r="F932" s="522">
        <v>8.35</v>
      </c>
      <c r="G932" s="523">
        <v>796.66666666699996</v>
      </c>
    </row>
    <row r="933" spans="1:7" x14ac:dyDescent="0.2">
      <c r="B933" s="521">
        <v>425028</v>
      </c>
      <c r="C933" s="266" t="s">
        <v>1213</v>
      </c>
      <c r="D933" s="521">
        <v>425</v>
      </c>
      <c r="E933" s="266" t="s">
        <v>1201</v>
      </c>
      <c r="F933" s="522">
        <v>8.4499999999999993</v>
      </c>
      <c r="G933" s="523">
        <v>923.58333333300004</v>
      </c>
    </row>
    <row r="934" spans="1:7" x14ac:dyDescent="0.2">
      <c r="B934" s="521">
        <v>425031</v>
      </c>
      <c r="C934" s="266" t="s">
        <v>1214</v>
      </c>
      <c r="D934" s="521">
        <v>425</v>
      </c>
      <c r="E934" s="266" t="s">
        <v>1201</v>
      </c>
      <c r="F934" s="522">
        <v>8.0500000000000007</v>
      </c>
      <c r="G934" s="523">
        <v>879.36842105300002</v>
      </c>
    </row>
    <row r="935" spans="1:7" x14ac:dyDescent="0.2">
      <c r="B935" s="521">
        <v>425033</v>
      </c>
      <c r="C935" s="266" t="s">
        <v>1215</v>
      </c>
      <c r="D935" s="521">
        <v>425</v>
      </c>
      <c r="E935" s="266" t="s">
        <v>1201</v>
      </c>
      <c r="F935" s="522">
        <v>7.95</v>
      </c>
      <c r="G935" s="523">
        <v>843.20903954799996</v>
      </c>
    </row>
    <row r="936" spans="1:7" x14ac:dyDescent="0.2">
      <c r="B936" s="521">
        <v>425035</v>
      </c>
      <c r="C936" s="266" t="s">
        <v>1216</v>
      </c>
      <c r="D936" s="521">
        <v>425</v>
      </c>
      <c r="E936" s="266" t="s">
        <v>1201</v>
      </c>
      <c r="F936" s="522">
        <v>8.0333333333300008</v>
      </c>
      <c r="G936" s="523">
        <v>796.66666666699996</v>
      </c>
    </row>
    <row r="937" spans="1:7" x14ac:dyDescent="0.2">
      <c r="B937" s="521">
        <v>425036</v>
      </c>
      <c r="C937" s="266" t="s">
        <v>1217</v>
      </c>
      <c r="D937" s="521">
        <v>425</v>
      </c>
      <c r="E937" s="266" t="s">
        <v>1201</v>
      </c>
      <c r="F937" s="522">
        <v>8.35</v>
      </c>
      <c r="G937" s="523">
        <v>801.6</v>
      </c>
    </row>
    <row r="938" spans="1:7" x14ac:dyDescent="0.2">
      <c r="B938" s="521">
        <v>425039</v>
      </c>
      <c r="C938" s="266" t="s">
        <v>1218</v>
      </c>
      <c r="D938" s="521">
        <v>425</v>
      </c>
      <c r="E938" s="266" t="s">
        <v>1201</v>
      </c>
      <c r="F938" s="522">
        <v>8.35</v>
      </c>
      <c r="G938" s="523">
        <v>778.28169014100001</v>
      </c>
    </row>
    <row r="939" spans="1:7" x14ac:dyDescent="0.2">
      <c r="B939" s="521">
        <v>425050</v>
      </c>
      <c r="C939" s="266" t="s">
        <v>1219</v>
      </c>
      <c r="D939" s="521">
        <v>425</v>
      </c>
      <c r="E939" s="266" t="s">
        <v>1201</v>
      </c>
      <c r="F939" s="522">
        <v>8.5500000000000007</v>
      </c>
      <c r="G939" s="523">
        <v>774.83333333300004</v>
      </c>
    </row>
    <row r="940" spans="1:7" x14ac:dyDescent="0.2">
      <c r="B940" s="521">
        <v>425052</v>
      </c>
      <c r="C940" s="266" t="s">
        <v>1220</v>
      </c>
      <c r="D940" s="521">
        <v>425</v>
      </c>
      <c r="E940" s="266" t="s">
        <v>1201</v>
      </c>
      <c r="F940" s="522">
        <v>8.35</v>
      </c>
      <c r="G940" s="523">
        <v>824.22222222200003</v>
      </c>
    </row>
    <row r="941" spans="1:7" x14ac:dyDescent="0.2">
      <c r="B941" s="521">
        <v>425055</v>
      </c>
      <c r="C941" s="266" t="s">
        <v>1221</v>
      </c>
      <c r="D941" s="521">
        <v>425</v>
      </c>
      <c r="E941" s="266" t="s">
        <v>1201</v>
      </c>
      <c r="F941" s="522">
        <v>8.3000000000000007</v>
      </c>
      <c r="G941" s="523">
        <v>797.42857142900004</v>
      </c>
    </row>
    <row r="942" spans="1:7" x14ac:dyDescent="0.2">
      <c r="B942" s="521">
        <v>425062</v>
      </c>
      <c r="C942" s="266" t="s">
        <v>1222</v>
      </c>
      <c r="D942" s="521">
        <v>425</v>
      </c>
      <c r="E942" s="266" t="s">
        <v>1201</v>
      </c>
      <c r="F942" s="522">
        <v>8.3000000000000007</v>
      </c>
      <c r="G942" s="523">
        <v>820.28571428600003</v>
      </c>
    </row>
    <row r="943" spans="1:7" x14ac:dyDescent="0.2">
      <c r="B943" s="521">
        <v>425064</v>
      </c>
      <c r="C943" s="266" t="s">
        <v>1223</v>
      </c>
      <c r="D943" s="521">
        <v>425</v>
      </c>
      <c r="E943" s="266" t="s">
        <v>1201</v>
      </c>
      <c r="F943" s="522">
        <v>8.5500000000000007</v>
      </c>
      <c r="G943" s="523">
        <v>795.09523809500001</v>
      </c>
    </row>
    <row r="944" spans="1:7" x14ac:dyDescent="0.2">
      <c r="B944" s="521">
        <v>425066</v>
      </c>
      <c r="C944" s="266" t="s">
        <v>1224</v>
      </c>
      <c r="D944" s="521">
        <v>425</v>
      </c>
      <c r="E944" s="266" t="s">
        <v>1201</v>
      </c>
      <c r="F944" s="522">
        <v>8.5500000000000007</v>
      </c>
      <c r="G944" s="523">
        <v>877.2</v>
      </c>
    </row>
    <row r="945" spans="1:7" x14ac:dyDescent="0.2">
      <c r="B945" s="521">
        <v>425071</v>
      </c>
      <c r="C945" s="266" t="s">
        <v>1225</v>
      </c>
      <c r="D945" s="521">
        <v>425</v>
      </c>
      <c r="E945" s="266" t="s">
        <v>1201</v>
      </c>
      <c r="F945" s="522">
        <v>7.5</v>
      </c>
      <c r="G945" s="523">
        <v>1038.5877192999999</v>
      </c>
    </row>
    <row r="946" spans="1:7" x14ac:dyDescent="0.2">
      <c r="B946" s="521">
        <v>425072</v>
      </c>
      <c r="C946" s="266" t="s">
        <v>1226</v>
      </c>
      <c r="D946" s="521">
        <v>425</v>
      </c>
      <c r="E946" s="266" t="s">
        <v>1201</v>
      </c>
      <c r="F946" s="522">
        <v>8.4499999999999993</v>
      </c>
      <c r="G946" s="523">
        <v>781.89024390199995</v>
      </c>
    </row>
    <row r="947" spans="1:7" x14ac:dyDescent="0.2">
      <c r="B947" s="521">
        <v>425073</v>
      </c>
      <c r="C947" s="266" t="s">
        <v>1227</v>
      </c>
      <c r="D947" s="521">
        <v>425</v>
      </c>
      <c r="E947" s="266" t="s">
        <v>1201</v>
      </c>
      <c r="F947" s="522">
        <v>8.0500000000000007</v>
      </c>
      <c r="G947" s="523">
        <v>813.55555555599994</v>
      </c>
    </row>
    <row r="948" spans="1:7" x14ac:dyDescent="0.2">
      <c r="B948" s="521">
        <v>425075</v>
      </c>
      <c r="C948" s="266" t="s">
        <v>1228</v>
      </c>
      <c r="D948" s="521">
        <v>425</v>
      </c>
      <c r="E948" s="266" t="s">
        <v>1201</v>
      </c>
      <c r="F948" s="522">
        <v>8</v>
      </c>
      <c r="G948" s="523">
        <v>925.82051282099997</v>
      </c>
    </row>
    <row r="949" spans="1:7" x14ac:dyDescent="0.2">
      <c r="B949" s="521">
        <v>425079</v>
      </c>
      <c r="C949" s="266" t="s">
        <v>1229</v>
      </c>
      <c r="D949" s="521">
        <v>425</v>
      </c>
      <c r="E949" s="266" t="s">
        <v>1201</v>
      </c>
      <c r="F949" s="522">
        <v>7.65</v>
      </c>
      <c r="G949" s="523">
        <v>1067.2982456100001</v>
      </c>
    </row>
    <row r="950" spans="1:7" x14ac:dyDescent="0.2">
      <c r="B950" s="521">
        <v>425081</v>
      </c>
      <c r="C950" s="266" t="s">
        <v>1230</v>
      </c>
      <c r="D950" s="521">
        <v>425</v>
      </c>
      <c r="E950" s="266" t="s">
        <v>1201</v>
      </c>
      <c r="F950" s="522">
        <v>8.35</v>
      </c>
      <c r="G950" s="523">
        <v>789.29411764700001</v>
      </c>
    </row>
    <row r="951" spans="1:7" x14ac:dyDescent="0.2">
      <c r="B951" s="521">
        <v>425083</v>
      </c>
      <c r="C951" s="266" t="s">
        <v>1231</v>
      </c>
      <c r="D951" s="521">
        <v>425</v>
      </c>
      <c r="E951" s="266" t="s">
        <v>1201</v>
      </c>
      <c r="F951" s="522">
        <v>8.1999999999999993</v>
      </c>
      <c r="G951" s="523">
        <v>824.57142857099996</v>
      </c>
    </row>
    <row r="952" spans="1:7" x14ac:dyDescent="0.2">
      <c r="B952" s="521">
        <v>425084</v>
      </c>
      <c r="C952" s="266" t="s">
        <v>1232</v>
      </c>
      <c r="D952" s="521">
        <v>425</v>
      </c>
      <c r="E952" s="266" t="s">
        <v>1201</v>
      </c>
      <c r="F952" s="522">
        <v>7.7</v>
      </c>
      <c r="G952" s="523">
        <v>1061.2</v>
      </c>
    </row>
    <row r="953" spans="1:7" x14ac:dyDescent="0.2">
      <c r="B953" s="521">
        <v>425085</v>
      </c>
      <c r="C953" s="266" t="s">
        <v>1233</v>
      </c>
      <c r="D953" s="521">
        <v>425</v>
      </c>
      <c r="E953" s="266" t="s">
        <v>1201</v>
      </c>
      <c r="F953" s="522">
        <v>8.4</v>
      </c>
      <c r="G953" s="523">
        <v>779.2</v>
      </c>
    </row>
    <row r="954" spans="1:7" x14ac:dyDescent="0.2">
      <c r="B954" s="521">
        <v>425088</v>
      </c>
      <c r="C954" s="266" t="s">
        <v>1234</v>
      </c>
      <c r="D954" s="521">
        <v>425</v>
      </c>
      <c r="E954" s="266" t="s">
        <v>1201</v>
      </c>
      <c r="F954" s="522">
        <v>8.5</v>
      </c>
      <c r="G954" s="523">
        <v>767.58823529400001</v>
      </c>
    </row>
    <row r="955" spans="1:7" x14ac:dyDescent="0.2">
      <c r="B955" s="521">
        <v>425090</v>
      </c>
      <c r="C955" s="266" t="s">
        <v>1235</v>
      </c>
      <c r="D955" s="521">
        <v>425</v>
      </c>
      <c r="E955" s="266" t="s">
        <v>1201</v>
      </c>
      <c r="F955" s="522">
        <v>8.25</v>
      </c>
      <c r="G955" s="523">
        <v>795.9</v>
      </c>
    </row>
    <row r="956" spans="1:7" x14ac:dyDescent="0.2">
      <c r="B956" s="521">
        <v>425091</v>
      </c>
      <c r="C956" s="266" t="s">
        <v>1236</v>
      </c>
      <c r="D956" s="521">
        <v>425</v>
      </c>
      <c r="E956" s="266" t="s">
        <v>1201</v>
      </c>
      <c r="F956" s="522">
        <v>8.35</v>
      </c>
      <c r="G956" s="523">
        <v>815.38095238100004</v>
      </c>
    </row>
    <row r="957" spans="1:7" x14ac:dyDescent="0.2">
      <c r="B957" s="521">
        <v>425092</v>
      </c>
      <c r="C957" s="266" t="s">
        <v>1237</v>
      </c>
      <c r="D957" s="521">
        <v>425</v>
      </c>
      <c r="E957" s="266" t="s">
        <v>1201</v>
      </c>
      <c r="F957" s="522">
        <v>8.35</v>
      </c>
      <c r="G957" s="523">
        <v>775.66666666699996</v>
      </c>
    </row>
    <row r="958" spans="1:7" x14ac:dyDescent="0.2">
      <c r="B958" s="521">
        <v>425093</v>
      </c>
      <c r="C958" s="266" t="s">
        <v>1238</v>
      </c>
      <c r="D958" s="521">
        <v>425</v>
      </c>
      <c r="E958" s="266" t="s">
        <v>1201</v>
      </c>
      <c r="F958" s="522">
        <v>8.5500000000000007</v>
      </c>
      <c r="G958" s="523">
        <v>759.866666667</v>
      </c>
    </row>
    <row r="959" spans="1:7" x14ac:dyDescent="0.2">
      <c r="B959" s="521">
        <v>425097</v>
      </c>
      <c r="C959" s="266" t="s">
        <v>1239</v>
      </c>
      <c r="D959" s="521">
        <v>425</v>
      </c>
      <c r="E959" s="266" t="s">
        <v>1201</v>
      </c>
      <c r="F959" s="522">
        <v>8.5</v>
      </c>
      <c r="G959" s="523">
        <v>753.76470588200004</v>
      </c>
    </row>
    <row r="960" spans="1:7" x14ac:dyDescent="0.2">
      <c r="A960" s="453"/>
      <c r="B960" s="521">
        <v>425098</v>
      </c>
      <c r="C960" s="266" t="s">
        <v>1240</v>
      </c>
      <c r="D960" s="521">
        <v>425</v>
      </c>
      <c r="E960" s="266" t="s">
        <v>1201</v>
      </c>
      <c r="F960" s="522">
        <v>8.16</v>
      </c>
      <c r="G960" s="523">
        <v>790.83333333300004</v>
      </c>
    </row>
    <row r="961" spans="2:7" x14ac:dyDescent="0.2">
      <c r="B961" s="521">
        <v>425104</v>
      </c>
      <c r="C961" s="266" t="s">
        <v>1241</v>
      </c>
      <c r="D961" s="521">
        <v>425</v>
      </c>
      <c r="E961" s="266" t="s">
        <v>1201</v>
      </c>
      <c r="F961" s="522">
        <v>8.3800000000000008</v>
      </c>
      <c r="G961" s="523">
        <v>785.78571428600003</v>
      </c>
    </row>
    <row r="962" spans="2:7" x14ac:dyDescent="0.2">
      <c r="B962" s="521">
        <v>425108</v>
      </c>
      <c r="C962" s="266" t="s">
        <v>1242</v>
      </c>
      <c r="D962" s="521">
        <v>425</v>
      </c>
      <c r="E962" s="266" t="s">
        <v>1201</v>
      </c>
      <c r="F962" s="522">
        <v>7.84375</v>
      </c>
      <c r="G962" s="523">
        <v>901.65384615400001</v>
      </c>
    </row>
    <row r="963" spans="2:7" x14ac:dyDescent="0.2">
      <c r="B963" s="521">
        <v>425110</v>
      </c>
      <c r="C963" s="266" t="s">
        <v>1243</v>
      </c>
      <c r="D963" s="521">
        <v>425</v>
      </c>
      <c r="E963" s="266" t="s">
        <v>1201</v>
      </c>
      <c r="F963" s="522">
        <v>8.5</v>
      </c>
      <c r="G963" s="523">
        <v>858.22727272700001</v>
      </c>
    </row>
    <row r="964" spans="2:7" x14ac:dyDescent="0.2">
      <c r="B964" s="521">
        <v>425112</v>
      </c>
      <c r="C964" s="266" t="s">
        <v>1244</v>
      </c>
      <c r="D964" s="521">
        <v>425</v>
      </c>
      <c r="E964" s="266" t="s">
        <v>1201</v>
      </c>
      <c r="F964" s="522">
        <v>8.3000000000000007</v>
      </c>
      <c r="G964" s="523">
        <v>780.06666666700005</v>
      </c>
    </row>
    <row r="965" spans="2:7" x14ac:dyDescent="0.2">
      <c r="B965" s="521">
        <v>425123</v>
      </c>
      <c r="C965" s="266" t="s">
        <v>1245</v>
      </c>
      <c r="D965" s="521">
        <v>425</v>
      </c>
      <c r="E965" s="266" t="s">
        <v>1201</v>
      </c>
      <c r="F965" s="522">
        <v>8.35</v>
      </c>
      <c r="G965" s="523">
        <v>781.18181818200003</v>
      </c>
    </row>
    <row r="966" spans="2:7" x14ac:dyDescent="0.2">
      <c r="B966" s="521">
        <v>425124</v>
      </c>
      <c r="C966" s="266" t="s">
        <v>1246</v>
      </c>
      <c r="D966" s="521">
        <v>425</v>
      </c>
      <c r="E966" s="266" t="s">
        <v>1201</v>
      </c>
      <c r="F966" s="522">
        <v>8.4499999999999993</v>
      </c>
      <c r="G966" s="523">
        <v>799.133333333</v>
      </c>
    </row>
    <row r="967" spans="2:7" x14ac:dyDescent="0.2">
      <c r="B967" s="521">
        <v>425125</v>
      </c>
      <c r="C967" s="266" t="s">
        <v>1247</v>
      </c>
      <c r="D967" s="521">
        <v>425</v>
      </c>
      <c r="E967" s="266" t="s">
        <v>1201</v>
      </c>
      <c r="F967" s="522">
        <v>8.3000000000000007</v>
      </c>
      <c r="G967" s="523">
        <v>809.25</v>
      </c>
    </row>
    <row r="968" spans="2:7" x14ac:dyDescent="0.2">
      <c r="B968" s="521">
        <v>425130</v>
      </c>
      <c r="C968" s="266" t="s">
        <v>1248</v>
      </c>
      <c r="D968" s="521">
        <v>425</v>
      </c>
      <c r="E968" s="266" t="s">
        <v>1201</v>
      </c>
      <c r="F968" s="522">
        <v>7.9</v>
      </c>
      <c r="G968" s="523">
        <v>884.57692307699995</v>
      </c>
    </row>
    <row r="969" spans="2:7" x14ac:dyDescent="0.2">
      <c r="B969" s="521">
        <v>425134</v>
      </c>
      <c r="C969" s="266" t="s">
        <v>1249</v>
      </c>
      <c r="D969" s="521">
        <v>425</v>
      </c>
      <c r="E969" s="266" t="s">
        <v>1201</v>
      </c>
      <c r="F969" s="522">
        <v>7.3</v>
      </c>
      <c r="G969" s="523">
        <v>1119.03125</v>
      </c>
    </row>
    <row r="970" spans="2:7" x14ac:dyDescent="0.2">
      <c r="B970" s="521">
        <v>425135</v>
      </c>
      <c r="C970" s="266" t="s">
        <v>1250</v>
      </c>
      <c r="D970" s="521">
        <v>425</v>
      </c>
      <c r="E970" s="266" t="s">
        <v>1201</v>
      </c>
      <c r="F970" s="522">
        <v>8.1999999999999993</v>
      </c>
      <c r="G970" s="523">
        <v>848.20833333300004</v>
      </c>
    </row>
    <row r="971" spans="2:7" x14ac:dyDescent="0.2">
      <c r="B971" s="521">
        <v>425137</v>
      </c>
      <c r="C971" s="266" t="s">
        <v>1251</v>
      </c>
      <c r="D971" s="521">
        <v>425</v>
      </c>
      <c r="E971" s="266" t="s">
        <v>1201</v>
      </c>
      <c r="F971" s="522">
        <v>8.65</v>
      </c>
      <c r="G971" s="523">
        <v>826.12</v>
      </c>
    </row>
    <row r="972" spans="2:7" x14ac:dyDescent="0.2">
      <c r="B972" s="521">
        <v>425138</v>
      </c>
      <c r="C972" s="266" t="s">
        <v>1252</v>
      </c>
      <c r="D972" s="521">
        <v>425</v>
      </c>
      <c r="E972" s="266" t="s">
        <v>1201</v>
      </c>
      <c r="F972" s="522">
        <v>8.5500000000000007</v>
      </c>
      <c r="G972" s="523">
        <v>832.72413793099997</v>
      </c>
    </row>
    <row r="973" spans="2:7" x14ac:dyDescent="0.2">
      <c r="B973" s="521">
        <v>425139</v>
      </c>
      <c r="C973" s="266" t="s">
        <v>1253</v>
      </c>
      <c r="D973" s="521">
        <v>425</v>
      </c>
      <c r="E973" s="266" t="s">
        <v>1201</v>
      </c>
      <c r="F973" s="522">
        <v>7.4625000000000004</v>
      </c>
      <c r="G973" s="523">
        <v>1031.6176470600001</v>
      </c>
    </row>
    <row r="974" spans="2:7" x14ac:dyDescent="0.2">
      <c r="B974" s="521">
        <v>425140</v>
      </c>
      <c r="C974" s="266" t="s">
        <v>1254</v>
      </c>
      <c r="D974" s="521">
        <v>425</v>
      </c>
      <c r="E974" s="266" t="s">
        <v>1201</v>
      </c>
      <c r="F974" s="522">
        <v>8.35</v>
      </c>
      <c r="G974" s="523">
        <v>948.76666666699998</v>
      </c>
    </row>
    <row r="975" spans="2:7" x14ac:dyDescent="0.2">
      <c r="B975" s="524">
        <v>425141</v>
      </c>
      <c r="C975" s="525" t="s">
        <v>1255</v>
      </c>
      <c r="D975" s="524">
        <v>425</v>
      </c>
      <c r="E975" s="525" t="s">
        <v>1201</v>
      </c>
      <c r="F975" s="526">
        <v>8.1999999999999993</v>
      </c>
      <c r="G975" s="527">
        <v>829.24731182799997</v>
      </c>
    </row>
    <row r="976" spans="2:7" x14ac:dyDescent="0.2">
      <c r="B976" s="521">
        <v>426001</v>
      </c>
      <c r="C976" s="266" t="s">
        <v>1256</v>
      </c>
      <c r="D976" s="521">
        <v>426</v>
      </c>
      <c r="E976" s="266" t="s">
        <v>907</v>
      </c>
      <c r="F976" s="522">
        <v>8.5500000000000007</v>
      </c>
      <c r="G976" s="523">
        <v>796.4</v>
      </c>
    </row>
    <row r="977" spans="1:7" x14ac:dyDescent="0.2">
      <c r="B977" s="521">
        <v>426005</v>
      </c>
      <c r="C977" s="266" t="s">
        <v>1257</v>
      </c>
      <c r="D977" s="521">
        <v>426</v>
      </c>
      <c r="E977" s="266" t="s">
        <v>907</v>
      </c>
      <c r="F977" s="522">
        <v>8.15</v>
      </c>
      <c r="G977" s="523">
        <v>835.84615384599999</v>
      </c>
    </row>
    <row r="978" spans="1:7" x14ac:dyDescent="0.2">
      <c r="B978" s="521">
        <v>426006</v>
      </c>
      <c r="C978" s="266" t="s">
        <v>1258</v>
      </c>
      <c r="D978" s="521">
        <v>426</v>
      </c>
      <c r="E978" s="266" t="s">
        <v>907</v>
      </c>
      <c r="F978" s="522">
        <v>8.1</v>
      </c>
      <c r="G978" s="523">
        <v>915.5</v>
      </c>
    </row>
    <row r="979" spans="1:7" x14ac:dyDescent="0.2">
      <c r="B979" s="521">
        <v>426008</v>
      </c>
      <c r="C979" s="266" t="s">
        <v>1202</v>
      </c>
      <c r="D979" s="521">
        <v>426</v>
      </c>
      <c r="E979" s="266" t="s">
        <v>907</v>
      </c>
      <c r="F979" s="522">
        <v>8.15</v>
      </c>
      <c r="G979" s="523">
        <v>780.10869565200005</v>
      </c>
    </row>
    <row r="980" spans="1:7" x14ac:dyDescent="0.2">
      <c r="B980" s="521">
        <v>426011</v>
      </c>
      <c r="C980" s="266" t="s">
        <v>1259</v>
      </c>
      <c r="D980" s="521">
        <v>426</v>
      </c>
      <c r="E980" s="266" t="s">
        <v>907</v>
      </c>
      <c r="F980" s="522">
        <v>8.15</v>
      </c>
      <c r="G980" s="523">
        <v>850.69230769199999</v>
      </c>
    </row>
    <row r="981" spans="1:7" x14ac:dyDescent="0.2">
      <c r="B981" s="521">
        <v>426013</v>
      </c>
      <c r="C981" s="266" t="s">
        <v>1260</v>
      </c>
      <c r="D981" s="521">
        <v>426</v>
      </c>
      <c r="E981" s="266" t="s">
        <v>907</v>
      </c>
      <c r="F981" s="522">
        <v>8.15</v>
      </c>
      <c r="G981" s="523">
        <v>879.82758620699997</v>
      </c>
    </row>
    <row r="982" spans="1:7" x14ac:dyDescent="0.2">
      <c r="B982" s="521">
        <v>426014</v>
      </c>
      <c r="C982" s="266" t="s">
        <v>1261</v>
      </c>
      <c r="D982" s="521">
        <v>426</v>
      </c>
      <c r="E982" s="266" t="s">
        <v>907</v>
      </c>
      <c r="F982" s="522">
        <v>8.15</v>
      </c>
      <c r="G982" s="523">
        <v>933</v>
      </c>
    </row>
    <row r="983" spans="1:7" x14ac:dyDescent="0.2">
      <c r="B983" s="521">
        <v>426019</v>
      </c>
      <c r="C983" s="266" t="s">
        <v>1262</v>
      </c>
      <c r="D983" s="521">
        <v>426</v>
      </c>
      <c r="E983" s="266" t="s">
        <v>907</v>
      </c>
      <c r="F983" s="522">
        <v>8.1999999999999993</v>
      </c>
      <c r="G983" s="523">
        <v>995.161290323</v>
      </c>
    </row>
    <row r="984" spans="1:7" x14ac:dyDescent="0.2">
      <c r="B984" s="521">
        <v>426020</v>
      </c>
      <c r="C984" s="266" t="s">
        <v>1263</v>
      </c>
      <c r="D984" s="521">
        <v>426</v>
      </c>
      <c r="E984" s="266" t="s">
        <v>907</v>
      </c>
      <c r="F984" s="522">
        <v>8.15</v>
      </c>
      <c r="G984" s="523">
        <v>842.41176470599999</v>
      </c>
    </row>
    <row r="985" spans="1:7" x14ac:dyDescent="0.2">
      <c r="B985" s="521">
        <v>426021</v>
      </c>
      <c r="C985" s="266" t="s">
        <v>1264</v>
      </c>
      <c r="D985" s="521">
        <v>426</v>
      </c>
      <c r="E985" s="266" t="s">
        <v>907</v>
      </c>
      <c r="F985" s="522">
        <v>8.15</v>
      </c>
      <c r="G985" s="523">
        <v>907.97142857100005</v>
      </c>
    </row>
    <row r="986" spans="1:7" x14ac:dyDescent="0.2">
      <c r="B986" s="521">
        <v>426028</v>
      </c>
      <c r="C986" s="266" t="s">
        <v>1265</v>
      </c>
      <c r="D986" s="521">
        <v>426</v>
      </c>
      <c r="E986" s="266" t="s">
        <v>907</v>
      </c>
      <c r="F986" s="522">
        <v>8.4499999999999993</v>
      </c>
      <c r="G986" s="523">
        <v>866.68965517200002</v>
      </c>
    </row>
    <row r="987" spans="1:7" x14ac:dyDescent="0.2">
      <c r="B987" s="521">
        <v>426031</v>
      </c>
      <c r="C987" s="266" t="s">
        <v>1266</v>
      </c>
      <c r="D987" s="521">
        <v>426</v>
      </c>
      <c r="E987" s="266" t="s">
        <v>907</v>
      </c>
      <c r="F987" s="522">
        <v>8.3000000000000007</v>
      </c>
      <c r="G987" s="523">
        <v>944.61111111100001</v>
      </c>
    </row>
    <row r="988" spans="1:7" x14ac:dyDescent="0.2">
      <c r="B988" s="521">
        <v>426035</v>
      </c>
      <c r="C988" s="266" t="s">
        <v>1267</v>
      </c>
      <c r="D988" s="521">
        <v>426</v>
      </c>
      <c r="E988" s="266" t="s">
        <v>907</v>
      </c>
      <c r="F988" s="522">
        <v>8.15</v>
      </c>
      <c r="G988" s="523">
        <v>830.96666666700003</v>
      </c>
    </row>
    <row r="989" spans="1:7" x14ac:dyDescent="0.2">
      <c r="B989" s="521">
        <v>426036</v>
      </c>
      <c r="C989" s="266" t="s">
        <v>335</v>
      </c>
      <c r="D989" s="521">
        <v>426</v>
      </c>
      <c r="E989" s="266" t="s">
        <v>907</v>
      </c>
      <c r="F989" s="522">
        <v>8.1999999999999993</v>
      </c>
      <c r="G989" s="523">
        <v>884.71428571399997</v>
      </c>
    </row>
    <row r="990" spans="1:7" x14ac:dyDescent="0.2">
      <c r="A990" s="453"/>
      <c r="B990" s="521">
        <v>426038</v>
      </c>
      <c r="C990" s="266" t="s">
        <v>1268</v>
      </c>
      <c r="D990" s="521">
        <v>426</v>
      </c>
      <c r="E990" s="266" t="s">
        <v>907</v>
      </c>
      <c r="F990" s="522">
        <v>7.95</v>
      </c>
      <c r="G990" s="523">
        <v>1029.73255814</v>
      </c>
    </row>
    <row r="991" spans="1:7" x14ac:dyDescent="0.2">
      <c r="B991" s="521">
        <v>426043</v>
      </c>
      <c r="C991" s="266" t="s">
        <v>1269</v>
      </c>
      <c r="D991" s="521">
        <v>426</v>
      </c>
      <c r="E991" s="266" t="s">
        <v>907</v>
      </c>
      <c r="F991" s="522">
        <v>8.0500000000000007</v>
      </c>
      <c r="G991" s="523">
        <v>998.48571428599996</v>
      </c>
    </row>
    <row r="992" spans="1:7" x14ac:dyDescent="0.2">
      <c r="B992" s="521">
        <v>426044</v>
      </c>
      <c r="C992" s="266" t="s">
        <v>1270</v>
      </c>
      <c r="D992" s="521">
        <v>426</v>
      </c>
      <c r="E992" s="266" t="s">
        <v>907</v>
      </c>
      <c r="F992" s="522">
        <v>8.3000000000000007</v>
      </c>
      <c r="G992" s="523">
        <v>960</v>
      </c>
    </row>
    <row r="993" spans="2:7" x14ac:dyDescent="0.2">
      <c r="B993" s="521">
        <v>426045</v>
      </c>
      <c r="C993" s="266" t="s">
        <v>1271</v>
      </c>
      <c r="D993" s="521">
        <v>426</v>
      </c>
      <c r="E993" s="266" t="s">
        <v>907</v>
      </c>
      <c r="F993" s="522">
        <v>8.1999999999999993</v>
      </c>
      <c r="G993" s="523">
        <v>820.64705882400006</v>
      </c>
    </row>
    <row r="994" spans="2:7" x14ac:dyDescent="0.2">
      <c r="B994" s="521">
        <v>426058</v>
      </c>
      <c r="C994" s="266" t="s">
        <v>292</v>
      </c>
      <c r="D994" s="521">
        <v>426</v>
      </c>
      <c r="E994" s="266" t="s">
        <v>907</v>
      </c>
      <c r="F994" s="522">
        <v>8.1</v>
      </c>
      <c r="G994" s="523">
        <v>959.16666666699996</v>
      </c>
    </row>
    <row r="995" spans="2:7" x14ac:dyDescent="0.2">
      <c r="B995" s="521">
        <v>426062</v>
      </c>
      <c r="C995" s="266" t="s">
        <v>1272</v>
      </c>
      <c r="D995" s="521">
        <v>426</v>
      </c>
      <c r="E995" s="266" t="s">
        <v>907</v>
      </c>
      <c r="F995" s="522">
        <v>8.1333333333300004</v>
      </c>
      <c r="G995" s="523">
        <v>926.34375</v>
      </c>
    </row>
    <row r="996" spans="2:7" x14ac:dyDescent="0.2">
      <c r="B996" s="521">
        <v>426064</v>
      </c>
      <c r="C996" s="266" t="s">
        <v>1273</v>
      </c>
      <c r="D996" s="521">
        <v>426</v>
      </c>
      <c r="E996" s="266" t="s">
        <v>907</v>
      </c>
      <c r="F996" s="522">
        <v>8.15</v>
      </c>
      <c r="G996" s="523">
        <v>859.91666666699996</v>
      </c>
    </row>
    <row r="997" spans="2:7" x14ac:dyDescent="0.2">
      <c r="B997" s="521">
        <v>426065</v>
      </c>
      <c r="C997" s="266" t="s">
        <v>1274</v>
      </c>
      <c r="D997" s="521">
        <v>426</v>
      </c>
      <c r="E997" s="266" t="s">
        <v>907</v>
      </c>
      <c r="F997" s="522">
        <v>8.3000000000000007</v>
      </c>
      <c r="G997" s="523">
        <v>958.70833333300004</v>
      </c>
    </row>
    <row r="998" spans="2:7" x14ac:dyDescent="0.2">
      <c r="B998" s="521">
        <v>426066</v>
      </c>
      <c r="C998" s="266" t="s">
        <v>1275</v>
      </c>
      <c r="D998" s="521">
        <v>426</v>
      </c>
      <c r="E998" s="266" t="s">
        <v>907</v>
      </c>
      <c r="F998" s="522">
        <v>8.3000000000000007</v>
      </c>
      <c r="G998" s="523">
        <v>973.20754717</v>
      </c>
    </row>
    <row r="999" spans="2:7" x14ac:dyDescent="0.2">
      <c r="B999" s="521">
        <v>426067</v>
      </c>
      <c r="C999" s="266" t="s">
        <v>1276</v>
      </c>
      <c r="D999" s="521">
        <v>426</v>
      </c>
      <c r="E999" s="266" t="s">
        <v>907</v>
      </c>
      <c r="F999" s="522">
        <v>7.65</v>
      </c>
      <c r="G999" s="523">
        <v>835.85826771699999</v>
      </c>
    </row>
    <row r="1000" spans="2:7" x14ac:dyDescent="0.2">
      <c r="B1000" s="521">
        <v>426070</v>
      </c>
      <c r="C1000" s="266" t="s">
        <v>1277</v>
      </c>
      <c r="D1000" s="521">
        <v>426</v>
      </c>
      <c r="E1000" s="266" t="s">
        <v>907</v>
      </c>
      <c r="F1000" s="522">
        <v>8.5</v>
      </c>
      <c r="G1000" s="523">
        <v>833.58888888900003</v>
      </c>
    </row>
    <row r="1001" spans="2:7" x14ac:dyDescent="0.2">
      <c r="B1001" s="521">
        <v>426071</v>
      </c>
      <c r="C1001" s="266" t="s">
        <v>1278</v>
      </c>
      <c r="D1001" s="521">
        <v>426</v>
      </c>
      <c r="E1001" s="266" t="s">
        <v>907</v>
      </c>
      <c r="F1001" s="522">
        <v>8.25</v>
      </c>
      <c r="G1001" s="523">
        <v>909.01470588200004</v>
      </c>
    </row>
    <row r="1002" spans="2:7" x14ac:dyDescent="0.2">
      <c r="B1002" s="521">
        <v>426073</v>
      </c>
      <c r="C1002" s="266" t="s">
        <v>1279</v>
      </c>
      <c r="D1002" s="521">
        <v>426</v>
      </c>
      <c r="E1002" s="266" t="s">
        <v>907</v>
      </c>
      <c r="F1002" s="522">
        <v>8.4</v>
      </c>
      <c r="G1002" s="523">
        <v>894.51282051299995</v>
      </c>
    </row>
    <row r="1003" spans="2:7" x14ac:dyDescent="0.2">
      <c r="B1003" s="521">
        <v>426074</v>
      </c>
      <c r="C1003" s="266" t="s">
        <v>1280</v>
      </c>
      <c r="D1003" s="521">
        <v>426</v>
      </c>
      <c r="E1003" s="266" t="s">
        <v>907</v>
      </c>
      <c r="F1003" s="522">
        <v>8.25</v>
      </c>
      <c r="G1003" s="523">
        <v>877.161290323</v>
      </c>
    </row>
    <row r="1004" spans="2:7" x14ac:dyDescent="0.2">
      <c r="B1004" s="521">
        <v>426078</v>
      </c>
      <c r="C1004" s="266" t="s">
        <v>1281</v>
      </c>
      <c r="D1004" s="521">
        <v>426</v>
      </c>
      <c r="E1004" s="266" t="s">
        <v>907</v>
      </c>
      <c r="F1004" s="522">
        <v>8.15</v>
      </c>
      <c r="G1004" s="523">
        <v>857.33333333300004</v>
      </c>
    </row>
    <row r="1005" spans="2:7" x14ac:dyDescent="0.2">
      <c r="B1005" s="521">
        <v>426087</v>
      </c>
      <c r="C1005" s="266" t="s">
        <v>1282</v>
      </c>
      <c r="D1005" s="521">
        <v>426</v>
      </c>
      <c r="E1005" s="266" t="s">
        <v>907</v>
      </c>
      <c r="F1005" s="522">
        <v>8.0500000000000007</v>
      </c>
      <c r="G1005" s="523">
        <v>975.38750000000005</v>
      </c>
    </row>
    <row r="1006" spans="2:7" x14ac:dyDescent="0.2">
      <c r="B1006" s="521">
        <v>426090</v>
      </c>
      <c r="C1006" s="266" t="s">
        <v>1283</v>
      </c>
      <c r="D1006" s="521">
        <v>426</v>
      </c>
      <c r="E1006" s="266" t="s">
        <v>907</v>
      </c>
      <c r="F1006" s="522">
        <v>8.15</v>
      </c>
      <c r="G1006" s="523">
        <v>901.15384615400001</v>
      </c>
    </row>
    <row r="1007" spans="2:7" x14ac:dyDescent="0.2">
      <c r="B1007" s="521">
        <v>426097</v>
      </c>
      <c r="C1007" s="266" t="s">
        <v>1284</v>
      </c>
      <c r="D1007" s="521">
        <v>426</v>
      </c>
      <c r="E1007" s="266" t="s">
        <v>907</v>
      </c>
      <c r="F1007" s="522">
        <v>7.85</v>
      </c>
      <c r="G1007" s="523">
        <v>815.41441441400002</v>
      </c>
    </row>
    <row r="1008" spans="2:7" x14ac:dyDescent="0.2">
      <c r="B1008" s="521">
        <v>426100</v>
      </c>
      <c r="C1008" s="266" t="s">
        <v>1285</v>
      </c>
      <c r="D1008" s="521">
        <v>426</v>
      </c>
      <c r="E1008" s="266" t="s">
        <v>907</v>
      </c>
      <c r="F1008" s="522">
        <v>8</v>
      </c>
      <c r="G1008" s="523">
        <v>1055.1224489799999</v>
      </c>
    </row>
    <row r="1009" spans="1:7" x14ac:dyDescent="0.2">
      <c r="B1009" s="521">
        <v>426108</v>
      </c>
      <c r="C1009" s="266" t="s">
        <v>1286</v>
      </c>
      <c r="D1009" s="521">
        <v>426</v>
      </c>
      <c r="E1009" s="266" t="s">
        <v>907</v>
      </c>
      <c r="F1009" s="522">
        <v>8.35</v>
      </c>
      <c r="G1009" s="523">
        <v>914</v>
      </c>
    </row>
    <row r="1010" spans="1:7" x14ac:dyDescent="0.2">
      <c r="B1010" s="521">
        <v>426109</v>
      </c>
      <c r="C1010" s="266" t="s">
        <v>1287</v>
      </c>
      <c r="D1010" s="521">
        <v>426</v>
      </c>
      <c r="E1010" s="266" t="s">
        <v>907</v>
      </c>
      <c r="F1010" s="522">
        <v>8.0500000000000007</v>
      </c>
      <c r="G1010" s="523">
        <v>848</v>
      </c>
    </row>
    <row r="1011" spans="1:7" x14ac:dyDescent="0.2">
      <c r="B1011" s="521">
        <v>426113</v>
      </c>
      <c r="C1011" s="266" t="s">
        <v>1288</v>
      </c>
      <c r="D1011" s="521">
        <v>426</v>
      </c>
      <c r="E1011" s="266" t="s">
        <v>907</v>
      </c>
      <c r="F1011" s="522">
        <v>7.9</v>
      </c>
      <c r="G1011" s="523">
        <v>1028.2173912999999</v>
      </c>
    </row>
    <row r="1012" spans="1:7" x14ac:dyDescent="0.2">
      <c r="B1012" s="521">
        <v>426117</v>
      </c>
      <c r="C1012" s="266" t="s">
        <v>1289</v>
      </c>
      <c r="D1012" s="521">
        <v>426</v>
      </c>
      <c r="E1012" s="266" t="s">
        <v>907</v>
      </c>
      <c r="F1012" s="522">
        <v>8.1999999999999993</v>
      </c>
      <c r="G1012" s="523">
        <v>1018.33333333</v>
      </c>
    </row>
    <row r="1013" spans="1:7" x14ac:dyDescent="0.2">
      <c r="B1013" s="521">
        <v>426118</v>
      </c>
      <c r="C1013" s="266" t="s">
        <v>1290</v>
      </c>
      <c r="D1013" s="521">
        <v>426</v>
      </c>
      <c r="E1013" s="266" t="s">
        <v>907</v>
      </c>
      <c r="F1013" s="522">
        <v>8.1</v>
      </c>
      <c r="G1013" s="523">
        <v>871.89473684200004</v>
      </c>
    </row>
    <row r="1014" spans="1:7" x14ac:dyDescent="0.2">
      <c r="B1014" s="521">
        <v>426120</v>
      </c>
      <c r="C1014" s="266" t="s">
        <v>1291</v>
      </c>
      <c r="D1014" s="521">
        <v>426</v>
      </c>
      <c r="E1014" s="266" t="s">
        <v>907</v>
      </c>
      <c r="F1014" s="522">
        <v>8.1</v>
      </c>
      <c r="G1014" s="523">
        <v>965.61904761899996</v>
      </c>
    </row>
    <row r="1015" spans="1:7" x14ac:dyDescent="0.2">
      <c r="B1015" s="521">
        <v>426121</v>
      </c>
      <c r="C1015" s="266" t="s">
        <v>1292</v>
      </c>
      <c r="D1015" s="521">
        <v>426</v>
      </c>
      <c r="E1015" s="266" t="s">
        <v>907</v>
      </c>
      <c r="F1015" s="522">
        <v>8.0250000000000004</v>
      </c>
      <c r="G1015" s="523">
        <v>820.19230769199999</v>
      </c>
    </row>
    <row r="1016" spans="1:7" x14ac:dyDescent="0.2">
      <c r="B1016" s="521">
        <v>426124</v>
      </c>
      <c r="C1016" s="266" t="s">
        <v>1293</v>
      </c>
      <c r="D1016" s="521">
        <v>426</v>
      </c>
      <c r="E1016" s="266" t="s">
        <v>907</v>
      </c>
      <c r="F1016" s="522">
        <v>8.0777777777799997</v>
      </c>
      <c r="G1016" s="523">
        <v>829.39344262300006</v>
      </c>
    </row>
    <row r="1017" spans="1:7" x14ac:dyDescent="0.2">
      <c r="B1017" s="521">
        <v>426125</v>
      </c>
      <c r="C1017" s="266" t="s">
        <v>1294</v>
      </c>
      <c r="D1017" s="521">
        <v>426</v>
      </c>
      <c r="E1017" s="266" t="s">
        <v>907</v>
      </c>
      <c r="F1017" s="522">
        <v>8.35</v>
      </c>
      <c r="G1017" s="523">
        <v>945.16666666699996</v>
      </c>
    </row>
    <row r="1018" spans="1:7" x14ac:dyDescent="0.2">
      <c r="B1018" s="521">
        <v>426128</v>
      </c>
      <c r="C1018" s="266" t="s">
        <v>1295</v>
      </c>
      <c r="D1018" s="521">
        <v>426</v>
      </c>
      <c r="E1018" s="266" t="s">
        <v>907</v>
      </c>
      <c r="F1018" s="522">
        <v>8.25</v>
      </c>
      <c r="G1018" s="523">
        <v>866.30612244899999</v>
      </c>
    </row>
    <row r="1019" spans="1:7" x14ac:dyDescent="0.2">
      <c r="B1019" s="521">
        <v>426134</v>
      </c>
      <c r="C1019" s="266" t="s">
        <v>1296</v>
      </c>
      <c r="D1019" s="521">
        <v>426</v>
      </c>
      <c r="E1019" s="266" t="s">
        <v>907</v>
      </c>
      <c r="F1019" s="522">
        <v>8.3000000000000007</v>
      </c>
      <c r="G1019" s="523">
        <v>838.22784810099995</v>
      </c>
    </row>
    <row r="1020" spans="1:7" x14ac:dyDescent="0.2">
      <c r="A1020" s="453"/>
      <c r="B1020" s="524">
        <v>426135</v>
      </c>
      <c r="C1020" s="525" t="s">
        <v>1297</v>
      </c>
      <c r="D1020" s="524">
        <v>426</v>
      </c>
      <c r="E1020" s="525" t="s">
        <v>907</v>
      </c>
      <c r="F1020" s="526">
        <v>8.1999999999999993</v>
      </c>
      <c r="G1020" s="527">
        <v>949.30232558099999</v>
      </c>
    </row>
    <row r="1021" spans="1:7" x14ac:dyDescent="0.2">
      <c r="B1021" s="521">
        <v>435005</v>
      </c>
      <c r="C1021" s="266" t="s">
        <v>1298</v>
      </c>
      <c r="D1021" s="521">
        <v>435</v>
      </c>
      <c r="E1021" s="266" t="s">
        <v>1299</v>
      </c>
      <c r="F1021" s="522">
        <v>9.0666666666700007</v>
      </c>
      <c r="G1021" s="523">
        <v>952</v>
      </c>
    </row>
    <row r="1022" spans="1:7" x14ac:dyDescent="0.2">
      <c r="B1022" s="521">
        <v>435010</v>
      </c>
      <c r="C1022" s="266" t="s">
        <v>1300</v>
      </c>
      <c r="D1022" s="521">
        <v>435</v>
      </c>
      <c r="E1022" s="266" t="s">
        <v>1299</v>
      </c>
      <c r="F1022" s="522">
        <v>9.1666666666700003</v>
      </c>
      <c r="G1022" s="523">
        <v>982.75</v>
      </c>
    </row>
    <row r="1023" spans="1:7" x14ac:dyDescent="0.2">
      <c r="B1023" s="521">
        <v>435013</v>
      </c>
      <c r="C1023" s="266" t="s">
        <v>1301</v>
      </c>
      <c r="D1023" s="521">
        <v>435</v>
      </c>
      <c r="E1023" s="266" t="s">
        <v>1299</v>
      </c>
      <c r="F1023" s="522">
        <v>9.3249999999999993</v>
      </c>
      <c r="G1023" s="523">
        <v>1090.7826087000001</v>
      </c>
    </row>
    <row r="1024" spans="1:7" x14ac:dyDescent="0.2">
      <c r="B1024" s="521">
        <v>435015</v>
      </c>
      <c r="C1024" s="266" t="s">
        <v>1302</v>
      </c>
      <c r="D1024" s="521">
        <v>435</v>
      </c>
      <c r="E1024" s="266" t="s">
        <v>1299</v>
      </c>
      <c r="F1024" s="522">
        <v>8.4176470588200001</v>
      </c>
      <c r="G1024" s="523">
        <v>937.65116279100005</v>
      </c>
    </row>
    <row r="1025" spans="2:7" x14ac:dyDescent="0.2">
      <c r="B1025" s="521">
        <v>435016</v>
      </c>
      <c r="C1025" s="266" t="s">
        <v>1303</v>
      </c>
      <c r="D1025" s="521">
        <v>435</v>
      </c>
      <c r="E1025" s="266" t="s">
        <v>1299</v>
      </c>
      <c r="F1025" s="522">
        <v>9.1199999999999992</v>
      </c>
      <c r="G1025" s="523">
        <v>1025.24137931</v>
      </c>
    </row>
    <row r="1026" spans="2:7" x14ac:dyDescent="0.2">
      <c r="B1026" s="521">
        <v>435018</v>
      </c>
      <c r="C1026" s="266" t="s">
        <v>1304</v>
      </c>
      <c r="D1026" s="521">
        <v>435</v>
      </c>
      <c r="E1026" s="266" t="s">
        <v>1299</v>
      </c>
      <c r="F1026" s="522">
        <v>9.5</v>
      </c>
      <c r="G1026" s="523">
        <v>936.33333333300004</v>
      </c>
    </row>
    <row r="1027" spans="2:7" x14ac:dyDescent="0.2">
      <c r="B1027" s="521">
        <v>435020</v>
      </c>
      <c r="C1027" s="266" t="s">
        <v>1305</v>
      </c>
      <c r="D1027" s="521">
        <v>435</v>
      </c>
      <c r="E1027" s="266" t="s">
        <v>1299</v>
      </c>
      <c r="F1027" s="522">
        <v>8.1999999999999993</v>
      </c>
      <c r="G1027" s="523">
        <v>1012.17105263</v>
      </c>
    </row>
    <row r="1028" spans="2:7" x14ac:dyDescent="0.2">
      <c r="B1028" s="521">
        <v>435024</v>
      </c>
      <c r="C1028" s="266" t="s">
        <v>1306</v>
      </c>
      <c r="D1028" s="521">
        <v>435</v>
      </c>
      <c r="E1028" s="266" t="s">
        <v>1299</v>
      </c>
      <c r="F1028" s="522">
        <v>9.5</v>
      </c>
      <c r="G1028" s="523">
        <v>924.16666666699996</v>
      </c>
    </row>
    <row r="1029" spans="2:7" x14ac:dyDescent="0.2">
      <c r="B1029" s="521">
        <v>435029</v>
      </c>
      <c r="C1029" s="266" t="s">
        <v>1307</v>
      </c>
      <c r="D1029" s="521">
        <v>435</v>
      </c>
      <c r="E1029" s="266" t="s">
        <v>1299</v>
      </c>
      <c r="F1029" s="522">
        <v>9.1999999999999993</v>
      </c>
      <c r="G1029" s="523">
        <v>1205.96875</v>
      </c>
    </row>
    <row r="1030" spans="2:7" x14ac:dyDescent="0.2">
      <c r="B1030" s="521">
        <v>435030</v>
      </c>
      <c r="C1030" s="266" t="s">
        <v>1308</v>
      </c>
      <c r="D1030" s="521">
        <v>435</v>
      </c>
      <c r="E1030" s="266" t="s">
        <v>1299</v>
      </c>
      <c r="F1030" s="522">
        <v>9.1999999999999993</v>
      </c>
      <c r="G1030" s="523">
        <v>1129.82857143</v>
      </c>
    </row>
    <row r="1031" spans="2:7" x14ac:dyDescent="0.2">
      <c r="B1031" s="521">
        <v>435034</v>
      </c>
      <c r="C1031" s="266" t="s">
        <v>1309</v>
      </c>
      <c r="D1031" s="521">
        <v>435</v>
      </c>
      <c r="E1031" s="266" t="s">
        <v>1299</v>
      </c>
      <c r="F1031" s="522">
        <v>8.8000000000000007</v>
      </c>
      <c r="G1031" s="523">
        <v>994.26923076900005</v>
      </c>
    </row>
    <row r="1032" spans="2:7" x14ac:dyDescent="0.2">
      <c r="B1032" s="521">
        <v>435035</v>
      </c>
      <c r="C1032" s="266" t="s">
        <v>1310</v>
      </c>
      <c r="D1032" s="521">
        <v>435</v>
      </c>
      <c r="E1032" s="266" t="s">
        <v>1299</v>
      </c>
      <c r="F1032" s="522">
        <v>8.9499999999999993</v>
      </c>
      <c r="G1032" s="523">
        <v>1129.0862069</v>
      </c>
    </row>
    <row r="1033" spans="2:7" x14ac:dyDescent="0.2">
      <c r="B1033" s="521">
        <v>435036</v>
      </c>
      <c r="C1033" s="266" t="s">
        <v>1311</v>
      </c>
      <c r="D1033" s="521">
        <v>435</v>
      </c>
      <c r="E1033" s="266" t="s">
        <v>1299</v>
      </c>
      <c r="F1033" s="522">
        <v>9.2857142857100001</v>
      </c>
      <c r="G1033" s="523">
        <v>952.26315789499995</v>
      </c>
    </row>
    <row r="1034" spans="2:7" x14ac:dyDescent="0.2">
      <c r="B1034" s="521">
        <v>435042</v>
      </c>
      <c r="C1034" s="266" t="s">
        <v>1312</v>
      </c>
      <c r="D1034" s="521">
        <v>435</v>
      </c>
      <c r="E1034" s="266" t="s">
        <v>1299</v>
      </c>
      <c r="F1034" s="522">
        <v>8.85</v>
      </c>
      <c r="G1034" s="523">
        <v>1323.7954545499999</v>
      </c>
    </row>
    <row r="1035" spans="2:7" x14ac:dyDescent="0.2">
      <c r="B1035" s="521">
        <v>435045</v>
      </c>
      <c r="C1035" s="266" t="s">
        <v>1313</v>
      </c>
      <c r="D1035" s="521">
        <v>435</v>
      </c>
      <c r="E1035" s="266" t="s">
        <v>1299</v>
      </c>
      <c r="F1035" s="522">
        <v>8.9857142857099994</v>
      </c>
      <c r="G1035" s="523">
        <v>1040.7666666699999</v>
      </c>
    </row>
    <row r="1036" spans="2:7" x14ac:dyDescent="0.2">
      <c r="B1036" s="521">
        <v>435047</v>
      </c>
      <c r="C1036" s="266" t="s">
        <v>1314</v>
      </c>
      <c r="D1036" s="521">
        <v>435</v>
      </c>
      <c r="E1036" s="266" t="s">
        <v>1299</v>
      </c>
      <c r="F1036" s="522">
        <v>8.5176470588199997</v>
      </c>
      <c r="G1036" s="523">
        <v>953.14705882400006</v>
      </c>
    </row>
    <row r="1037" spans="2:7" x14ac:dyDescent="0.2">
      <c r="B1037" s="521">
        <v>435052</v>
      </c>
      <c r="C1037" s="266" t="s">
        <v>1315</v>
      </c>
      <c r="D1037" s="521">
        <v>435</v>
      </c>
      <c r="E1037" s="266" t="s">
        <v>1299</v>
      </c>
      <c r="F1037" s="522">
        <v>8.8176470588200004</v>
      </c>
      <c r="G1037" s="523">
        <v>926.64473684200004</v>
      </c>
    </row>
    <row r="1038" spans="2:7" x14ac:dyDescent="0.2">
      <c r="B1038" s="521">
        <v>435053</v>
      </c>
      <c r="C1038" s="266" t="s">
        <v>1316</v>
      </c>
      <c r="D1038" s="521">
        <v>435</v>
      </c>
      <c r="E1038" s="266" t="s">
        <v>1299</v>
      </c>
      <c r="F1038" s="522">
        <v>8.92</v>
      </c>
      <c r="G1038" s="523">
        <v>919.4</v>
      </c>
    </row>
    <row r="1039" spans="2:7" x14ac:dyDescent="0.2">
      <c r="B1039" s="521">
        <v>435054</v>
      </c>
      <c r="C1039" s="266" t="s">
        <v>1317</v>
      </c>
      <c r="D1039" s="521">
        <v>435</v>
      </c>
      <c r="E1039" s="266" t="s">
        <v>1299</v>
      </c>
      <c r="F1039" s="522">
        <v>9.4499999999999993</v>
      </c>
      <c r="G1039" s="523">
        <v>945.36363636399994</v>
      </c>
    </row>
    <row r="1040" spans="2:7" x14ac:dyDescent="0.2">
      <c r="B1040" s="521">
        <v>435057</v>
      </c>
      <c r="C1040" s="266" t="s">
        <v>1318</v>
      </c>
      <c r="D1040" s="521">
        <v>435</v>
      </c>
      <c r="E1040" s="266" t="s">
        <v>1299</v>
      </c>
      <c r="F1040" s="522">
        <v>8.9499999999999993</v>
      </c>
      <c r="G1040" s="523">
        <v>1213.7980769200001</v>
      </c>
    </row>
    <row r="1041" spans="1:7" x14ac:dyDescent="0.2">
      <c r="B1041" s="521">
        <v>435059</v>
      </c>
      <c r="C1041" s="266" t="s">
        <v>1319</v>
      </c>
      <c r="D1041" s="521">
        <v>435</v>
      </c>
      <c r="E1041" s="266" t="s">
        <v>1299</v>
      </c>
      <c r="F1041" s="522">
        <v>8.65</v>
      </c>
      <c r="G1041" s="523">
        <v>936.93939393899996</v>
      </c>
    </row>
    <row r="1042" spans="1:7" x14ac:dyDescent="0.2">
      <c r="B1042" s="521">
        <v>435066</v>
      </c>
      <c r="C1042" s="266" t="s">
        <v>1320</v>
      </c>
      <c r="D1042" s="521">
        <v>435</v>
      </c>
      <c r="E1042" s="266" t="s">
        <v>1299</v>
      </c>
      <c r="F1042" s="522">
        <v>9.3249999999999993</v>
      </c>
      <c r="G1042" s="523">
        <v>902.625</v>
      </c>
    </row>
    <row r="1043" spans="1:7" x14ac:dyDescent="0.2">
      <c r="B1043" s="524">
        <v>435067</v>
      </c>
      <c r="C1043" s="525" t="s">
        <v>1321</v>
      </c>
      <c r="D1043" s="524">
        <v>435</v>
      </c>
      <c r="E1043" s="525" t="s">
        <v>1299</v>
      </c>
      <c r="F1043" s="526">
        <v>8.25</v>
      </c>
      <c r="G1043" s="527">
        <v>1062.40909091</v>
      </c>
    </row>
    <row r="1044" spans="1:7" x14ac:dyDescent="0.2">
      <c r="B1044" s="521">
        <v>436001</v>
      </c>
      <c r="C1044" s="266" t="s">
        <v>1322</v>
      </c>
      <c r="D1044" s="521">
        <v>436</v>
      </c>
      <c r="E1044" s="266" t="s">
        <v>1323</v>
      </c>
      <c r="F1044" s="522">
        <v>8.8000000000000007</v>
      </c>
      <c r="G1044" s="523">
        <v>1395.2380952399999</v>
      </c>
    </row>
    <row r="1045" spans="1:7" x14ac:dyDescent="0.2">
      <c r="B1045" s="521">
        <v>436003</v>
      </c>
      <c r="C1045" s="266" t="s">
        <v>1324</v>
      </c>
      <c r="D1045" s="521">
        <v>436</v>
      </c>
      <c r="E1045" s="266" t="s">
        <v>1323</v>
      </c>
      <c r="F1045" s="522">
        <v>7.8</v>
      </c>
      <c r="G1045" s="523">
        <v>1172.6500000000001</v>
      </c>
    </row>
    <row r="1046" spans="1:7" x14ac:dyDescent="0.2">
      <c r="B1046" s="521">
        <v>436004</v>
      </c>
      <c r="C1046" s="266" t="s">
        <v>1325</v>
      </c>
      <c r="D1046" s="521">
        <v>436</v>
      </c>
      <c r="E1046" s="266" t="s">
        <v>1323</v>
      </c>
      <c r="F1046" s="522">
        <v>7.9</v>
      </c>
      <c r="G1046" s="523">
        <v>1116.3666666700001</v>
      </c>
    </row>
    <row r="1047" spans="1:7" x14ac:dyDescent="0.2">
      <c r="B1047" s="521">
        <v>436005</v>
      </c>
      <c r="C1047" s="266" t="s">
        <v>1326</v>
      </c>
      <c r="D1047" s="521">
        <v>436</v>
      </c>
      <c r="E1047" s="266" t="s">
        <v>1323</v>
      </c>
      <c r="F1047" s="522">
        <v>8.25</v>
      </c>
      <c r="G1047" s="523">
        <v>924.21621621600002</v>
      </c>
    </row>
    <row r="1048" spans="1:7" x14ac:dyDescent="0.2">
      <c r="B1048" s="521">
        <v>436006</v>
      </c>
      <c r="C1048" s="266" t="s">
        <v>1327</v>
      </c>
      <c r="D1048" s="521">
        <v>436</v>
      </c>
      <c r="E1048" s="266" t="s">
        <v>1323</v>
      </c>
      <c r="F1048" s="522">
        <v>8.3000000000000007</v>
      </c>
      <c r="G1048" s="523">
        <v>1360.7758620699999</v>
      </c>
    </row>
    <row r="1049" spans="1:7" x14ac:dyDescent="0.2">
      <c r="B1049" s="521">
        <v>436008</v>
      </c>
      <c r="C1049" s="266" t="s">
        <v>1328</v>
      </c>
      <c r="D1049" s="521">
        <v>436</v>
      </c>
      <c r="E1049" s="266" t="s">
        <v>1323</v>
      </c>
      <c r="F1049" s="522">
        <v>8.1999999999999993</v>
      </c>
      <c r="G1049" s="523">
        <v>935.73239436599999</v>
      </c>
    </row>
    <row r="1050" spans="1:7" x14ac:dyDescent="0.2">
      <c r="A1050" s="453"/>
      <c r="B1050" s="521">
        <v>436009</v>
      </c>
      <c r="C1050" s="266" t="s">
        <v>1329</v>
      </c>
      <c r="D1050" s="521">
        <v>436</v>
      </c>
      <c r="E1050" s="266" t="s">
        <v>1323</v>
      </c>
      <c r="F1050" s="522">
        <v>8.0500000000000007</v>
      </c>
      <c r="G1050" s="523">
        <v>1039.6993007000001</v>
      </c>
    </row>
    <row r="1051" spans="1:7" x14ac:dyDescent="0.2">
      <c r="B1051" s="521">
        <v>436010</v>
      </c>
      <c r="C1051" s="266" t="s">
        <v>1330</v>
      </c>
      <c r="D1051" s="521">
        <v>436</v>
      </c>
      <c r="E1051" s="266" t="s">
        <v>1323</v>
      </c>
      <c r="F1051" s="522">
        <v>7.7</v>
      </c>
      <c r="G1051" s="523">
        <v>1161.06707317</v>
      </c>
    </row>
    <row r="1052" spans="1:7" x14ac:dyDescent="0.2">
      <c r="B1052" s="521">
        <v>436011</v>
      </c>
      <c r="C1052" s="266" t="s">
        <v>1331</v>
      </c>
      <c r="D1052" s="521">
        <v>436</v>
      </c>
      <c r="E1052" s="266" t="s">
        <v>1323</v>
      </c>
      <c r="F1052" s="522">
        <v>8.5545454545500004</v>
      </c>
      <c r="G1052" s="523">
        <v>1037.33333333</v>
      </c>
    </row>
    <row r="1053" spans="1:7" x14ac:dyDescent="0.2">
      <c r="B1053" s="521">
        <v>436012</v>
      </c>
      <c r="C1053" s="266" t="s">
        <v>1332</v>
      </c>
      <c r="D1053" s="521">
        <v>436</v>
      </c>
      <c r="E1053" s="266" t="s">
        <v>1323</v>
      </c>
      <c r="F1053" s="522">
        <v>8.65</v>
      </c>
      <c r="G1053" s="523">
        <v>954.75</v>
      </c>
    </row>
    <row r="1054" spans="1:7" x14ac:dyDescent="0.2">
      <c r="B1054" s="521">
        <v>436013</v>
      </c>
      <c r="C1054" s="266" t="s">
        <v>1333</v>
      </c>
      <c r="D1054" s="521">
        <v>436</v>
      </c>
      <c r="E1054" s="266" t="s">
        <v>1323</v>
      </c>
      <c r="F1054" s="522">
        <v>8.75</v>
      </c>
      <c r="G1054" s="523">
        <v>952.35</v>
      </c>
    </row>
    <row r="1055" spans="1:7" x14ac:dyDescent="0.2">
      <c r="B1055" s="521">
        <v>436014</v>
      </c>
      <c r="C1055" s="266" t="s">
        <v>1334</v>
      </c>
      <c r="D1055" s="521">
        <v>436</v>
      </c>
      <c r="E1055" s="266" t="s">
        <v>1323</v>
      </c>
      <c r="F1055" s="522">
        <v>8.1777777777799994</v>
      </c>
      <c r="G1055" s="523">
        <v>1113.2564102599999</v>
      </c>
    </row>
    <row r="1056" spans="1:7" x14ac:dyDescent="0.2">
      <c r="B1056" s="521">
        <v>436018</v>
      </c>
      <c r="C1056" s="266" t="s">
        <v>1335</v>
      </c>
      <c r="D1056" s="521">
        <v>436</v>
      </c>
      <c r="E1056" s="266" t="s">
        <v>1323</v>
      </c>
      <c r="F1056" s="522">
        <v>8.4</v>
      </c>
      <c r="G1056" s="523">
        <v>1273.7105263200001</v>
      </c>
    </row>
    <row r="1057" spans="2:7" x14ac:dyDescent="0.2">
      <c r="B1057" s="521">
        <v>436019</v>
      </c>
      <c r="C1057" s="266" t="s">
        <v>1336</v>
      </c>
      <c r="D1057" s="521">
        <v>436</v>
      </c>
      <c r="E1057" s="266" t="s">
        <v>1323</v>
      </c>
      <c r="F1057" s="522">
        <v>8.1333333333300004</v>
      </c>
      <c r="G1057" s="523">
        <v>921.366666667</v>
      </c>
    </row>
    <row r="1058" spans="2:7" x14ac:dyDescent="0.2">
      <c r="B1058" s="521">
        <v>436024</v>
      </c>
      <c r="C1058" s="266" t="s">
        <v>1337</v>
      </c>
      <c r="D1058" s="521">
        <v>436</v>
      </c>
      <c r="E1058" s="266" t="s">
        <v>1323</v>
      </c>
      <c r="F1058" s="522">
        <v>8.15</v>
      </c>
      <c r="G1058" s="523">
        <v>959.47619047600006</v>
      </c>
    </row>
    <row r="1059" spans="2:7" x14ac:dyDescent="0.2">
      <c r="B1059" s="521">
        <v>436027</v>
      </c>
      <c r="C1059" s="266" t="s">
        <v>1338</v>
      </c>
      <c r="D1059" s="521">
        <v>436</v>
      </c>
      <c r="E1059" s="266" t="s">
        <v>1323</v>
      </c>
      <c r="F1059" s="522">
        <v>8.0500000000000007</v>
      </c>
      <c r="G1059" s="523">
        <v>927.30769230800001</v>
      </c>
    </row>
    <row r="1060" spans="2:7" x14ac:dyDescent="0.2">
      <c r="B1060" s="521">
        <v>436032</v>
      </c>
      <c r="C1060" s="266" t="s">
        <v>1339</v>
      </c>
      <c r="D1060" s="521">
        <v>436</v>
      </c>
      <c r="E1060" s="266" t="s">
        <v>1323</v>
      </c>
      <c r="F1060" s="522">
        <v>8.0500000000000007</v>
      </c>
      <c r="G1060" s="523">
        <v>1015.4</v>
      </c>
    </row>
    <row r="1061" spans="2:7" x14ac:dyDescent="0.2">
      <c r="B1061" s="521">
        <v>436039</v>
      </c>
      <c r="C1061" s="266" t="s">
        <v>1340</v>
      </c>
      <c r="D1061" s="521">
        <v>436</v>
      </c>
      <c r="E1061" s="266" t="s">
        <v>1323</v>
      </c>
      <c r="F1061" s="522">
        <v>8.34</v>
      </c>
      <c r="G1061" s="523">
        <v>1231.16129032</v>
      </c>
    </row>
    <row r="1062" spans="2:7" x14ac:dyDescent="0.2">
      <c r="B1062" s="521">
        <v>436040</v>
      </c>
      <c r="C1062" s="266" t="s">
        <v>1341</v>
      </c>
      <c r="D1062" s="521">
        <v>436</v>
      </c>
      <c r="E1062" s="266" t="s">
        <v>1323</v>
      </c>
      <c r="F1062" s="522">
        <v>8</v>
      </c>
      <c r="G1062" s="523">
        <v>997.63636363600006</v>
      </c>
    </row>
    <row r="1063" spans="2:7" x14ac:dyDescent="0.2">
      <c r="B1063" s="521">
        <v>436047</v>
      </c>
      <c r="C1063" s="266" t="s">
        <v>1342</v>
      </c>
      <c r="D1063" s="521">
        <v>436</v>
      </c>
      <c r="E1063" s="266" t="s">
        <v>1323</v>
      </c>
      <c r="F1063" s="522">
        <v>8</v>
      </c>
      <c r="G1063" s="523">
        <v>918.11111111100001</v>
      </c>
    </row>
    <row r="1064" spans="2:7" x14ac:dyDescent="0.2">
      <c r="B1064" s="521">
        <v>436049</v>
      </c>
      <c r="C1064" s="266" t="s">
        <v>1343</v>
      </c>
      <c r="D1064" s="521">
        <v>436</v>
      </c>
      <c r="E1064" s="266" t="s">
        <v>1323</v>
      </c>
      <c r="F1064" s="522">
        <v>6.8842105263200004</v>
      </c>
      <c r="G1064" s="523">
        <v>1671.45544554</v>
      </c>
    </row>
    <row r="1065" spans="2:7" x14ac:dyDescent="0.2">
      <c r="B1065" s="521">
        <v>436052</v>
      </c>
      <c r="C1065" s="266" t="s">
        <v>1344</v>
      </c>
      <c r="D1065" s="521">
        <v>436</v>
      </c>
      <c r="E1065" s="266" t="s">
        <v>1323</v>
      </c>
      <c r="F1065" s="522">
        <v>7.82</v>
      </c>
      <c r="G1065" s="523">
        <v>1292.4000000000001</v>
      </c>
    </row>
    <row r="1066" spans="2:7" x14ac:dyDescent="0.2">
      <c r="B1066" s="521">
        <v>436053</v>
      </c>
      <c r="C1066" s="266" t="s">
        <v>1345</v>
      </c>
      <c r="D1066" s="521">
        <v>436</v>
      </c>
      <c r="E1066" s="266" t="s">
        <v>1323</v>
      </c>
      <c r="F1066" s="522">
        <v>7.85</v>
      </c>
      <c r="G1066" s="523">
        <v>952.31578947399998</v>
      </c>
    </row>
    <row r="1067" spans="2:7" x14ac:dyDescent="0.2">
      <c r="B1067" s="521">
        <v>436055</v>
      </c>
      <c r="C1067" s="266" t="s">
        <v>1346</v>
      </c>
      <c r="D1067" s="521">
        <v>436</v>
      </c>
      <c r="E1067" s="266" t="s">
        <v>1323</v>
      </c>
      <c r="F1067" s="522">
        <v>7.4285714285699997</v>
      </c>
      <c r="G1067" s="523">
        <v>1316.5053191500001</v>
      </c>
    </row>
    <row r="1068" spans="2:7" x14ac:dyDescent="0.2">
      <c r="B1068" s="521">
        <v>436064</v>
      </c>
      <c r="C1068" s="266" t="s">
        <v>1347</v>
      </c>
      <c r="D1068" s="521">
        <v>436</v>
      </c>
      <c r="E1068" s="266" t="s">
        <v>1323</v>
      </c>
      <c r="F1068" s="522">
        <v>8.8000000000000007</v>
      </c>
      <c r="G1068" s="523">
        <v>1084.4758064499999</v>
      </c>
    </row>
    <row r="1069" spans="2:7" x14ac:dyDescent="0.2">
      <c r="B1069" s="521">
        <v>436067</v>
      </c>
      <c r="C1069" s="266" t="s">
        <v>1348</v>
      </c>
      <c r="D1069" s="521">
        <v>436</v>
      </c>
      <c r="E1069" s="266" t="s">
        <v>1323</v>
      </c>
      <c r="F1069" s="522">
        <v>7.95</v>
      </c>
      <c r="G1069" s="523">
        <v>975.71428571399997</v>
      </c>
    </row>
    <row r="1070" spans="2:7" x14ac:dyDescent="0.2">
      <c r="B1070" s="521">
        <v>436069</v>
      </c>
      <c r="C1070" s="266" t="s">
        <v>1349</v>
      </c>
      <c r="D1070" s="521">
        <v>436</v>
      </c>
      <c r="E1070" s="266" t="s">
        <v>1323</v>
      </c>
      <c r="F1070" s="522">
        <v>8.2571428571399998</v>
      </c>
      <c r="G1070" s="523">
        <v>1190.8571428600001</v>
      </c>
    </row>
    <row r="1071" spans="2:7" x14ac:dyDescent="0.2">
      <c r="B1071" s="521">
        <v>436077</v>
      </c>
      <c r="C1071" s="266" t="s">
        <v>1350</v>
      </c>
      <c r="D1071" s="521">
        <v>436</v>
      </c>
      <c r="E1071" s="266" t="s">
        <v>1323</v>
      </c>
      <c r="F1071" s="522">
        <v>7.95</v>
      </c>
      <c r="G1071" s="523">
        <v>1008.08333333</v>
      </c>
    </row>
    <row r="1072" spans="2:7" x14ac:dyDescent="0.2">
      <c r="B1072" s="521">
        <v>436078</v>
      </c>
      <c r="C1072" s="266" t="s">
        <v>1351</v>
      </c>
      <c r="D1072" s="521">
        <v>436</v>
      </c>
      <c r="E1072" s="266" t="s">
        <v>1323</v>
      </c>
      <c r="F1072" s="522">
        <v>7.85</v>
      </c>
      <c r="G1072" s="523">
        <v>1295.64864865</v>
      </c>
    </row>
    <row r="1073" spans="1:7" x14ac:dyDescent="0.2">
      <c r="B1073" s="521">
        <v>436079</v>
      </c>
      <c r="C1073" s="266" t="s">
        <v>1352</v>
      </c>
      <c r="D1073" s="521">
        <v>436</v>
      </c>
      <c r="E1073" s="266" t="s">
        <v>1323</v>
      </c>
      <c r="F1073" s="522">
        <v>8</v>
      </c>
      <c r="G1073" s="523">
        <v>1288.9487179499999</v>
      </c>
    </row>
    <row r="1074" spans="1:7" x14ac:dyDescent="0.2">
      <c r="B1074" s="521">
        <v>436081</v>
      </c>
      <c r="C1074" s="266" t="s">
        <v>1353</v>
      </c>
      <c r="D1074" s="521">
        <v>436</v>
      </c>
      <c r="E1074" s="266" t="s">
        <v>1323</v>
      </c>
      <c r="F1074" s="522">
        <v>8.3000000000000007</v>
      </c>
      <c r="G1074" s="523">
        <v>1411.8923076900001</v>
      </c>
    </row>
    <row r="1075" spans="1:7" x14ac:dyDescent="0.2">
      <c r="B1075" s="521">
        <v>436082</v>
      </c>
      <c r="C1075" s="266" t="s">
        <v>1354</v>
      </c>
      <c r="D1075" s="521">
        <v>436</v>
      </c>
      <c r="E1075" s="266" t="s">
        <v>1323</v>
      </c>
      <c r="F1075" s="522">
        <v>8.7333333333300001</v>
      </c>
      <c r="G1075" s="523">
        <v>1030</v>
      </c>
    </row>
    <row r="1076" spans="1:7" x14ac:dyDescent="0.2">
      <c r="B1076" s="521">
        <v>436083</v>
      </c>
      <c r="C1076" s="266" t="s">
        <v>1355</v>
      </c>
      <c r="D1076" s="521">
        <v>436</v>
      </c>
      <c r="E1076" s="266" t="s">
        <v>1323</v>
      </c>
      <c r="F1076" s="522">
        <v>7.95</v>
      </c>
      <c r="G1076" s="523">
        <v>1036.37096774</v>
      </c>
    </row>
    <row r="1077" spans="1:7" x14ac:dyDescent="0.2">
      <c r="B1077" s="521">
        <v>436085</v>
      </c>
      <c r="C1077" s="266" t="s">
        <v>1356</v>
      </c>
      <c r="D1077" s="521">
        <v>436</v>
      </c>
      <c r="E1077" s="266" t="s">
        <v>1323</v>
      </c>
      <c r="F1077" s="522">
        <v>8</v>
      </c>
      <c r="G1077" s="523">
        <v>1209.9516129000001</v>
      </c>
    </row>
    <row r="1078" spans="1:7" x14ac:dyDescent="0.2">
      <c r="B1078" s="521">
        <v>436087</v>
      </c>
      <c r="C1078" s="266" t="s">
        <v>1357</v>
      </c>
      <c r="D1078" s="521">
        <v>436</v>
      </c>
      <c r="E1078" s="266" t="s">
        <v>1323</v>
      </c>
      <c r="F1078" s="522">
        <v>8.65</v>
      </c>
      <c r="G1078" s="523">
        <v>923.86363636399994</v>
      </c>
    </row>
    <row r="1079" spans="1:7" x14ac:dyDescent="0.2">
      <c r="B1079" s="521">
        <v>436093</v>
      </c>
      <c r="C1079" s="266" t="s">
        <v>1358</v>
      </c>
      <c r="D1079" s="521">
        <v>436</v>
      </c>
      <c r="E1079" s="266" t="s">
        <v>1323</v>
      </c>
      <c r="F1079" s="522">
        <v>8.1</v>
      </c>
      <c r="G1079" s="523">
        <v>933.05128205100004</v>
      </c>
    </row>
    <row r="1080" spans="1:7" x14ac:dyDescent="0.2">
      <c r="A1080" s="453"/>
      <c r="B1080" s="521">
        <v>436094</v>
      </c>
      <c r="C1080" s="266" t="s">
        <v>1359</v>
      </c>
      <c r="D1080" s="521">
        <v>436</v>
      </c>
      <c r="E1080" s="266" t="s">
        <v>1323</v>
      </c>
      <c r="F1080" s="522">
        <v>7.85</v>
      </c>
      <c r="G1080" s="523">
        <v>1543.6022727300001</v>
      </c>
    </row>
    <row r="1081" spans="1:7" x14ac:dyDescent="0.2">
      <c r="B1081" s="521">
        <v>436095</v>
      </c>
      <c r="C1081" s="266" t="s">
        <v>1360</v>
      </c>
      <c r="D1081" s="521">
        <v>436</v>
      </c>
      <c r="E1081" s="266" t="s">
        <v>1323</v>
      </c>
      <c r="F1081" s="522">
        <v>8.4</v>
      </c>
      <c r="G1081" s="523">
        <v>1053.859375</v>
      </c>
    </row>
    <row r="1082" spans="1:7" x14ac:dyDescent="0.2">
      <c r="B1082" s="524">
        <v>436096</v>
      </c>
      <c r="C1082" s="525" t="s">
        <v>1361</v>
      </c>
      <c r="D1082" s="524">
        <v>436</v>
      </c>
      <c r="E1082" s="525" t="s">
        <v>1323</v>
      </c>
      <c r="F1082" s="526">
        <v>8.4499999999999993</v>
      </c>
      <c r="G1082" s="527">
        <v>941.4</v>
      </c>
    </row>
    <row r="1083" spans="1:7" x14ac:dyDescent="0.2">
      <c r="B1083" s="521">
        <v>437005</v>
      </c>
      <c r="C1083" s="266" t="s">
        <v>1362</v>
      </c>
      <c r="D1083" s="521">
        <v>437</v>
      </c>
      <c r="E1083" s="266" t="s">
        <v>1363</v>
      </c>
      <c r="F1083" s="522">
        <v>7.45</v>
      </c>
      <c r="G1083" s="523">
        <v>929.989361702</v>
      </c>
    </row>
    <row r="1084" spans="1:7" x14ac:dyDescent="0.2">
      <c r="B1084" s="521">
        <v>437008</v>
      </c>
      <c r="C1084" s="266" t="s">
        <v>1364</v>
      </c>
      <c r="D1084" s="521">
        <v>437</v>
      </c>
      <c r="E1084" s="266" t="s">
        <v>1363</v>
      </c>
      <c r="F1084" s="522">
        <v>7.55</v>
      </c>
      <c r="G1084" s="523">
        <v>843.09615384599999</v>
      </c>
    </row>
    <row r="1085" spans="1:7" x14ac:dyDescent="0.2">
      <c r="B1085" s="521">
        <v>437031</v>
      </c>
      <c r="C1085" s="266" t="s">
        <v>1365</v>
      </c>
      <c r="D1085" s="521">
        <v>437</v>
      </c>
      <c r="E1085" s="266" t="s">
        <v>1363</v>
      </c>
      <c r="F1085" s="522">
        <v>7.35</v>
      </c>
      <c r="G1085" s="523">
        <v>889.85483870999997</v>
      </c>
    </row>
    <row r="1086" spans="1:7" x14ac:dyDescent="0.2">
      <c r="B1086" s="521">
        <v>437044</v>
      </c>
      <c r="C1086" s="266" t="s">
        <v>1366</v>
      </c>
      <c r="D1086" s="521">
        <v>437</v>
      </c>
      <c r="E1086" s="266" t="s">
        <v>1363</v>
      </c>
      <c r="F1086" s="522">
        <v>8.15</v>
      </c>
      <c r="G1086" s="523">
        <v>836.67105263200006</v>
      </c>
    </row>
    <row r="1087" spans="1:7" x14ac:dyDescent="0.2">
      <c r="B1087" s="521">
        <v>437047</v>
      </c>
      <c r="C1087" s="266" t="s">
        <v>1367</v>
      </c>
      <c r="D1087" s="521">
        <v>437</v>
      </c>
      <c r="E1087" s="266" t="s">
        <v>1363</v>
      </c>
      <c r="F1087" s="522">
        <v>7.4</v>
      </c>
      <c r="G1087" s="523">
        <v>887.59259259299995</v>
      </c>
    </row>
    <row r="1088" spans="1:7" x14ac:dyDescent="0.2">
      <c r="B1088" s="521">
        <v>437053</v>
      </c>
      <c r="C1088" s="266" t="s">
        <v>1368</v>
      </c>
      <c r="D1088" s="521">
        <v>437</v>
      </c>
      <c r="E1088" s="266" t="s">
        <v>1363</v>
      </c>
      <c r="F1088" s="522">
        <v>8</v>
      </c>
      <c r="G1088" s="523">
        <v>827.10810810800001</v>
      </c>
    </row>
    <row r="1089" spans="2:7" x14ac:dyDescent="0.2">
      <c r="B1089" s="521">
        <v>437056</v>
      </c>
      <c r="C1089" s="266" t="s">
        <v>1369</v>
      </c>
      <c r="D1089" s="521">
        <v>437</v>
      </c>
      <c r="E1089" s="266" t="s">
        <v>1363</v>
      </c>
      <c r="F1089" s="522">
        <v>7.7583333333300004</v>
      </c>
      <c r="G1089" s="523">
        <v>1057.66129032</v>
      </c>
    </row>
    <row r="1090" spans="2:7" x14ac:dyDescent="0.2">
      <c r="B1090" s="521">
        <v>437059</v>
      </c>
      <c r="C1090" s="266" t="s">
        <v>1370</v>
      </c>
      <c r="D1090" s="521">
        <v>437</v>
      </c>
      <c r="E1090" s="266" t="s">
        <v>1363</v>
      </c>
      <c r="F1090" s="522">
        <v>7.7</v>
      </c>
      <c r="G1090" s="523">
        <v>847</v>
      </c>
    </row>
    <row r="1091" spans="2:7" x14ac:dyDescent="0.2">
      <c r="B1091" s="521">
        <v>437065</v>
      </c>
      <c r="C1091" s="266" t="s">
        <v>1371</v>
      </c>
      <c r="D1091" s="521">
        <v>437</v>
      </c>
      <c r="E1091" s="266" t="s">
        <v>1363</v>
      </c>
      <c r="F1091" s="522">
        <v>7.8</v>
      </c>
      <c r="G1091" s="523">
        <v>837.73333333300002</v>
      </c>
    </row>
    <row r="1092" spans="2:7" x14ac:dyDescent="0.2">
      <c r="B1092" s="521">
        <v>437072</v>
      </c>
      <c r="C1092" s="266" t="s">
        <v>1372</v>
      </c>
      <c r="D1092" s="521">
        <v>437</v>
      </c>
      <c r="E1092" s="266" t="s">
        <v>1363</v>
      </c>
      <c r="F1092" s="522">
        <v>7.55</v>
      </c>
      <c r="G1092" s="523">
        <v>921.5</v>
      </c>
    </row>
    <row r="1093" spans="2:7" x14ac:dyDescent="0.2">
      <c r="B1093" s="521">
        <v>437076</v>
      </c>
      <c r="C1093" s="266" t="s">
        <v>1373</v>
      </c>
      <c r="D1093" s="521">
        <v>437</v>
      </c>
      <c r="E1093" s="266" t="s">
        <v>1363</v>
      </c>
      <c r="F1093" s="522">
        <v>7.95</v>
      </c>
      <c r="G1093" s="523">
        <v>829.59090909099996</v>
      </c>
    </row>
    <row r="1094" spans="2:7" x14ac:dyDescent="0.2">
      <c r="B1094" s="521">
        <v>437078</v>
      </c>
      <c r="C1094" s="266" t="s">
        <v>1374</v>
      </c>
      <c r="D1094" s="521">
        <v>437</v>
      </c>
      <c r="E1094" s="266" t="s">
        <v>1363</v>
      </c>
      <c r="F1094" s="522">
        <v>7.65</v>
      </c>
      <c r="G1094" s="523">
        <v>878.38461538499996</v>
      </c>
    </row>
    <row r="1095" spans="2:7" x14ac:dyDescent="0.2">
      <c r="B1095" s="521">
        <v>437082</v>
      </c>
      <c r="C1095" s="266" t="s">
        <v>1375</v>
      </c>
      <c r="D1095" s="521">
        <v>437</v>
      </c>
      <c r="E1095" s="266" t="s">
        <v>1363</v>
      </c>
      <c r="F1095" s="522">
        <v>7.15</v>
      </c>
      <c r="G1095" s="523">
        <v>923.21052631600003</v>
      </c>
    </row>
    <row r="1096" spans="2:7" x14ac:dyDescent="0.2">
      <c r="B1096" s="521">
        <v>437086</v>
      </c>
      <c r="C1096" s="266" t="s">
        <v>1376</v>
      </c>
      <c r="D1096" s="521">
        <v>437</v>
      </c>
      <c r="E1096" s="266" t="s">
        <v>1363</v>
      </c>
      <c r="F1096" s="522">
        <v>7.7</v>
      </c>
      <c r="G1096" s="523">
        <v>907.37795275600001</v>
      </c>
    </row>
    <row r="1097" spans="2:7" x14ac:dyDescent="0.2">
      <c r="B1097" s="521">
        <v>437088</v>
      </c>
      <c r="C1097" s="266" t="s">
        <v>1377</v>
      </c>
      <c r="D1097" s="521">
        <v>437</v>
      </c>
      <c r="E1097" s="266" t="s">
        <v>1363</v>
      </c>
      <c r="F1097" s="522">
        <v>7.75</v>
      </c>
      <c r="G1097" s="523">
        <v>927</v>
      </c>
    </row>
    <row r="1098" spans="2:7" x14ac:dyDescent="0.2">
      <c r="B1098" s="521">
        <v>437100</v>
      </c>
      <c r="C1098" s="266" t="s">
        <v>1378</v>
      </c>
      <c r="D1098" s="521">
        <v>437</v>
      </c>
      <c r="E1098" s="266" t="s">
        <v>1363</v>
      </c>
      <c r="F1098" s="522">
        <v>8.1</v>
      </c>
      <c r="G1098" s="523">
        <v>881.68468468499998</v>
      </c>
    </row>
    <row r="1099" spans="2:7" x14ac:dyDescent="0.2">
      <c r="B1099" s="521">
        <v>437101</v>
      </c>
      <c r="C1099" s="266" t="s">
        <v>1379</v>
      </c>
      <c r="D1099" s="521">
        <v>437</v>
      </c>
      <c r="E1099" s="266" t="s">
        <v>1363</v>
      </c>
      <c r="F1099" s="522">
        <v>7.9</v>
      </c>
      <c r="G1099" s="523">
        <v>815.97058823500004</v>
      </c>
    </row>
    <row r="1100" spans="2:7" x14ac:dyDescent="0.2">
      <c r="B1100" s="521">
        <v>437102</v>
      </c>
      <c r="C1100" s="266" t="s">
        <v>1380</v>
      </c>
      <c r="D1100" s="521">
        <v>437</v>
      </c>
      <c r="E1100" s="266" t="s">
        <v>1363</v>
      </c>
      <c r="F1100" s="522">
        <v>6.9</v>
      </c>
      <c r="G1100" s="523">
        <v>964</v>
      </c>
    </row>
    <row r="1101" spans="2:7" x14ac:dyDescent="0.2">
      <c r="B1101" s="521">
        <v>437104</v>
      </c>
      <c r="C1101" s="266" t="s">
        <v>1381</v>
      </c>
      <c r="D1101" s="521">
        <v>437</v>
      </c>
      <c r="E1101" s="266" t="s">
        <v>1363</v>
      </c>
      <c r="F1101" s="522">
        <v>7.6</v>
      </c>
      <c r="G1101" s="523">
        <v>857.764150943</v>
      </c>
    </row>
    <row r="1102" spans="2:7" x14ac:dyDescent="0.2">
      <c r="B1102" s="521">
        <v>437105</v>
      </c>
      <c r="C1102" s="266" t="s">
        <v>1382</v>
      </c>
      <c r="D1102" s="521">
        <v>437</v>
      </c>
      <c r="E1102" s="266" t="s">
        <v>1363</v>
      </c>
      <c r="F1102" s="522">
        <v>7.85</v>
      </c>
      <c r="G1102" s="523">
        <v>826.16</v>
      </c>
    </row>
    <row r="1103" spans="2:7" x14ac:dyDescent="0.2">
      <c r="B1103" s="521">
        <v>437107</v>
      </c>
      <c r="C1103" s="266" t="s">
        <v>1383</v>
      </c>
      <c r="D1103" s="521">
        <v>437</v>
      </c>
      <c r="E1103" s="266" t="s">
        <v>1363</v>
      </c>
      <c r="F1103" s="522">
        <v>7.3571428571400004</v>
      </c>
      <c r="G1103" s="523">
        <v>910.16279069799998</v>
      </c>
    </row>
    <row r="1104" spans="2:7" x14ac:dyDescent="0.2">
      <c r="B1104" s="521">
        <v>437114</v>
      </c>
      <c r="C1104" s="266" t="s">
        <v>1384</v>
      </c>
      <c r="D1104" s="521">
        <v>437</v>
      </c>
      <c r="E1104" s="266" t="s">
        <v>1363</v>
      </c>
      <c r="F1104" s="522">
        <v>7.45</v>
      </c>
      <c r="G1104" s="523">
        <v>885.77777777799997</v>
      </c>
    </row>
    <row r="1105" spans="1:7" x14ac:dyDescent="0.2">
      <c r="B1105" s="521">
        <v>437118</v>
      </c>
      <c r="C1105" s="266" t="s">
        <v>1385</v>
      </c>
      <c r="D1105" s="521">
        <v>437</v>
      </c>
      <c r="E1105" s="266" t="s">
        <v>1363</v>
      </c>
      <c r="F1105" s="522">
        <v>7.75</v>
      </c>
      <c r="G1105" s="523">
        <v>906.75</v>
      </c>
    </row>
    <row r="1106" spans="1:7" x14ac:dyDescent="0.2">
      <c r="B1106" s="521">
        <v>437123</v>
      </c>
      <c r="C1106" s="266" t="s">
        <v>1386</v>
      </c>
      <c r="D1106" s="521">
        <v>437</v>
      </c>
      <c r="E1106" s="266" t="s">
        <v>1363</v>
      </c>
      <c r="F1106" s="522">
        <v>8</v>
      </c>
      <c r="G1106" s="523">
        <v>897.77966101699997</v>
      </c>
    </row>
    <row r="1107" spans="1:7" x14ac:dyDescent="0.2">
      <c r="B1107" s="524">
        <v>437124</v>
      </c>
      <c r="C1107" s="525" t="s">
        <v>1387</v>
      </c>
      <c r="D1107" s="524">
        <v>437</v>
      </c>
      <c r="E1107" s="525" t="s">
        <v>1363</v>
      </c>
      <c r="F1107" s="526">
        <v>7.9066666666699996</v>
      </c>
      <c r="G1107" s="527">
        <v>947.39344262300006</v>
      </c>
    </row>
    <row r="1108" spans="1:7" ht="15.75" x14ac:dyDescent="0.25">
      <c r="B1108" s="456" t="s">
        <v>1388</v>
      </c>
      <c r="C1108" s="532"/>
      <c r="D1108" s="533"/>
      <c r="E1108" s="532"/>
      <c r="F1108" s="534">
        <f>AVERAGE(F5:F1107)</f>
        <v>8.8667383771449302</v>
      </c>
      <c r="G1108" s="535">
        <f>AVERAGE(G5:G1107)</f>
        <v>983.3835259263401</v>
      </c>
    </row>
    <row r="1110" spans="1:7" x14ac:dyDescent="0.2">
      <c r="B1110" s="518" t="s">
        <v>1389</v>
      </c>
      <c r="C1110" s="518" t="s">
        <v>1390</v>
      </c>
    </row>
    <row r="1111" spans="1:7" x14ac:dyDescent="0.2">
      <c r="B1111" s="518" t="s">
        <v>1391</v>
      </c>
      <c r="C1111" s="518" t="s">
        <v>1392</v>
      </c>
    </row>
    <row r="1112" spans="1:7" x14ac:dyDescent="0.2">
      <c r="B1112" s="518" t="s">
        <v>1393</v>
      </c>
      <c r="C1112" s="519">
        <v>43538</v>
      </c>
    </row>
    <row r="1113" spans="1:7" x14ac:dyDescent="0.2">
      <c r="A1113" s="453"/>
    </row>
  </sheetData>
  <sheetProtection password="DE9F" sheet="1" objects="1" scenarios="1" autoFilter="0"/>
  <autoFilter ref="B4:E1108"/>
  <printOptions horizontalCentered="1"/>
  <pageMargins left="0.59055118110236227" right="0.59055118110236227" top="0.59055118110236227" bottom="0.59055118110236227" header="0.31496062992125984" footer="0.39370078740157483"/>
  <pageSetup paperSize="9" scale="69" fitToHeight="15" orientation="portrait" r:id="rId1"/>
  <headerFooter>
    <oddFooter>&amp;L&amp;8LEL Schwäbisch Gmünd, Ref. 31;
Dr. Hansjörg Nußbaum, LAZBW Aulendorf&amp;C&amp;8FRANSI
&amp;A&amp;R&amp;8Version 1.0
letzte Bearbeitung: &amp;D</oddFooter>
  </headerFooter>
  <rowBreaks count="13" manualBreakCount="13">
    <brk id="75" max="16383" man="1"/>
    <brk id="152" max="16383" man="1"/>
    <brk id="230" max="16383" man="1"/>
    <brk id="305" max="16383" man="1"/>
    <brk id="381" max="16383" man="1"/>
    <brk id="460" max="6" man="1"/>
    <brk id="539" max="6" man="1"/>
    <brk id="608" max="16383" man="1"/>
    <brk id="684" max="16383" man="1"/>
    <brk id="760" max="16383" man="1"/>
    <brk id="820" max="16383" man="1"/>
    <brk id="894" max="16383" man="1"/>
    <brk id="104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zoomScaleNormal="100" workbookViewId="0">
      <pane ySplit="2" topLeftCell="A3" activePane="bottomLeft" state="frozen"/>
      <selection pane="bottomLeft"/>
    </sheetView>
  </sheetViews>
  <sheetFormatPr baseColWidth="10" defaultRowHeight="14.25" x14ac:dyDescent="0.2"/>
  <cols>
    <col min="1" max="1" width="2.625" customWidth="1"/>
    <col min="2" max="2" width="15" customWidth="1"/>
    <col min="3" max="3" width="3.75" customWidth="1"/>
    <col min="4" max="4" width="12.625" customWidth="1"/>
    <col min="5" max="6" width="2.625" customWidth="1"/>
    <col min="7" max="7" width="12.625" customWidth="1"/>
    <col min="8" max="9" width="2.625" customWidth="1"/>
    <col min="10" max="10" width="12.875" customWidth="1"/>
    <col min="11" max="12" width="2.625" customWidth="1"/>
    <col min="13" max="13" width="12.5" customWidth="1"/>
    <col min="15" max="15" width="12.125" bestFit="1" customWidth="1"/>
  </cols>
  <sheetData>
    <row r="1" spans="1:15" ht="23.25" x14ac:dyDescent="0.35">
      <c r="B1" s="236" t="s">
        <v>182</v>
      </c>
      <c r="M1" s="2"/>
      <c r="N1" s="117"/>
      <c r="O1" s="2"/>
    </row>
    <row r="3" spans="1:15" x14ac:dyDescent="0.2">
      <c r="A3" s="219"/>
      <c r="B3" s="220"/>
      <c r="C3" s="220"/>
      <c r="D3" s="220"/>
      <c r="E3" s="220"/>
      <c r="F3" s="220"/>
      <c r="G3" s="220"/>
      <c r="H3" s="220"/>
      <c r="I3" s="220"/>
      <c r="J3" s="220"/>
      <c r="K3" s="220"/>
      <c r="L3" s="220"/>
      <c r="M3" s="220"/>
      <c r="N3" s="220"/>
      <c r="O3" s="221"/>
    </row>
    <row r="4" spans="1:15" ht="18" x14ac:dyDescent="0.25">
      <c r="A4" s="222"/>
      <c r="B4" s="223" t="s">
        <v>172</v>
      </c>
      <c r="C4" s="223"/>
      <c r="D4" s="229" t="s">
        <v>175</v>
      </c>
      <c r="E4" s="1"/>
      <c r="F4" s="1"/>
      <c r="G4" s="1"/>
      <c r="H4" s="1"/>
      <c r="I4" s="1"/>
      <c r="J4" s="1"/>
      <c r="K4" s="1"/>
      <c r="L4" s="1"/>
      <c r="M4" s="1"/>
      <c r="N4" s="264" t="s">
        <v>160</v>
      </c>
      <c r="O4" s="265" t="s">
        <v>166</v>
      </c>
    </row>
    <row r="5" spans="1:15" ht="18" x14ac:dyDescent="0.25">
      <c r="A5" s="222"/>
      <c r="B5" s="1"/>
      <c r="C5" s="1"/>
      <c r="D5" s="229" t="s">
        <v>174</v>
      </c>
      <c r="E5" s="1"/>
      <c r="F5" s="1"/>
      <c r="G5" s="1"/>
      <c r="H5" s="1"/>
      <c r="I5" s="1"/>
      <c r="J5" s="1"/>
      <c r="K5" s="1"/>
      <c r="L5" s="1"/>
      <c r="M5" s="1"/>
      <c r="N5" s="1"/>
      <c r="O5" s="224"/>
    </row>
    <row r="6" spans="1:15" x14ac:dyDescent="0.2">
      <c r="A6" s="222"/>
      <c r="B6" s="1"/>
      <c r="C6" s="1"/>
      <c r="D6" s="1"/>
      <c r="E6" s="1"/>
      <c r="F6" s="1"/>
      <c r="G6" s="1"/>
      <c r="H6" s="1"/>
      <c r="I6" s="1"/>
      <c r="J6" s="1"/>
      <c r="K6" s="1"/>
      <c r="L6" s="1"/>
      <c r="M6" s="1"/>
      <c r="N6" s="1"/>
      <c r="O6" s="224"/>
    </row>
    <row r="7" spans="1:15" ht="111" customHeight="1" x14ac:dyDescent="0.2">
      <c r="A7" s="222"/>
      <c r="B7" s="1"/>
      <c r="C7" s="1"/>
      <c r="D7" s="216" t="s">
        <v>158</v>
      </c>
      <c r="E7" s="217"/>
      <c r="F7" s="1"/>
      <c r="G7" s="736" t="s">
        <v>156</v>
      </c>
      <c r="H7" s="217"/>
      <c r="I7" s="1"/>
      <c r="J7" s="736" t="s">
        <v>157</v>
      </c>
      <c r="K7" s="217"/>
      <c r="L7" s="1"/>
      <c r="M7" s="216" t="s">
        <v>159</v>
      </c>
      <c r="N7" s="1"/>
      <c r="O7" s="224"/>
    </row>
    <row r="8" spans="1:15" ht="55.5" customHeight="1" x14ac:dyDescent="0.2">
      <c r="A8" s="222"/>
      <c r="B8" s="1"/>
      <c r="C8" s="1"/>
      <c r="D8" s="215"/>
      <c r="E8" s="218"/>
      <c r="F8" s="1"/>
      <c r="G8" s="737"/>
      <c r="H8" s="218"/>
      <c r="I8" s="1"/>
      <c r="J8" s="737"/>
      <c r="K8" s="218"/>
      <c r="L8" s="1"/>
      <c r="M8" s="215"/>
      <c r="N8" s="1"/>
      <c r="O8" s="224"/>
    </row>
    <row r="9" spans="1:15" ht="10.5" customHeight="1" x14ac:dyDescent="0.2">
      <c r="A9" s="222"/>
      <c r="B9" s="1"/>
      <c r="C9" s="225" t="s">
        <v>160</v>
      </c>
      <c r="D9" s="246"/>
      <c r="E9" s="1"/>
      <c r="F9" s="225" t="s">
        <v>160</v>
      </c>
      <c r="G9" s="245"/>
      <c r="H9" s="1"/>
      <c r="I9" s="225" t="s">
        <v>160</v>
      </c>
      <c r="J9" s="245"/>
      <c r="K9" s="1"/>
      <c r="L9" s="225" t="s">
        <v>160</v>
      </c>
      <c r="M9" s="246"/>
      <c r="N9" s="1"/>
      <c r="O9" s="224"/>
    </row>
    <row r="10" spans="1:15" ht="43.5" customHeight="1" x14ac:dyDescent="0.2">
      <c r="A10" s="222"/>
      <c r="B10" s="1"/>
      <c r="C10" s="1"/>
      <c r="D10" s="738" t="s">
        <v>161</v>
      </c>
      <c r="E10" s="739"/>
      <c r="F10" s="738" t="s">
        <v>162</v>
      </c>
      <c r="G10" s="742"/>
      <c r="H10" s="739"/>
      <c r="I10" s="738" t="s">
        <v>163</v>
      </c>
      <c r="J10" s="742"/>
      <c r="K10" s="742"/>
      <c r="L10" s="738" t="s">
        <v>164</v>
      </c>
      <c r="M10" s="739"/>
      <c r="N10" s="1"/>
      <c r="O10" s="224"/>
    </row>
    <row r="11" spans="1:15" x14ac:dyDescent="0.2">
      <c r="A11" s="222"/>
      <c r="B11" s="1"/>
      <c r="C11" s="1"/>
      <c r="D11" s="1"/>
      <c r="E11" s="1"/>
      <c r="F11" s="1"/>
      <c r="G11" s="1"/>
      <c r="H11" s="1"/>
      <c r="I11" s="1"/>
      <c r="J11" s="1"/>
      <c r="K11" s="1"/>
      <c r="L11" s="1"/>
      <c r="M11" s="1"/>
      <c r="N11" s="1"/>
      <c r="O11" s="224"/>
    </row>
    <row r="12" spans="1:15" x14ac:dyDescent="0.2">
      <c r="A12" s="222"/>
      <c r="B12" s="1"/>
      <c r="C12" s="1"/>
      <c r="D12" s="1"/>
      <c r="E12" s="1"/>
      <c r="F12" s="1"/>
      <c r="G12" s="1"/>
      <c r="H12" s="1"/>
      <c r="I12" s="1"/>
      <c r="J12" s="1"/>
      <c r="K12" s="1"/>
      <c r="L12" s="1"/>
      <c r="M12" s="1"/>
      <c r="N12" s="1"/>
      <c r="O12" s="224"/>
    </row>
    <row r="13" spans="1:15" x14ac:dyDescent="0.2">
      <c r="A13" s="222"/>
      <c r="B13" s="233" t="s">
        <v>165</v>
      </c>
      <c r="C13" s="233"/>
      <c r="D13" s="233" t="s">
        <v>170</v>
      </c>
      <c r="E13" s="233"/>
      <c r="F13" s="233"/>
      <c r="G13" s="233" t="s">
        <v>169</v>
      </c>
      <c r="H13" s="233"/>
      <c r="I13" s="233"/>
      <c r="J13" s="233" t="s">
        <v>178</v>
      </c>
      <c r="K13" s="233"/>
      <c r="L13" s="233"/>
      <c r="M13" s="233" t="s">
        <v>170</v>
      </c>
      <c r="N13" s="1"/>
      <c r="O13" s="224"/>
    </row>
    <row r="14" spans="1:15" x14ac:dyDescent="0.2">
      <c r="A14" s="222"/>
      <c r="B14" s="233" t="s">
        <v>183</v>
      </c>
      <c r="C14" s="233"/>
      <c r="D14" s="233" t="s">
        <v>167</v>
      </c>
      <c r="E14" s="233"/>
      <c r="F14" s="233"/>
      <c r="G14" s="233" t="s">
        <v>168</v>
      </c>
      <c r="H14" s="233"/>
      <c r="I14" s="233"/>
      <c r="J14" s="233" t="s">
        <v>168</v>
      </c>
      <c r="K14" s="233"/>
      <c r="L14" s="233"/>
      <c r="M14" s="233" t="s">
        <v>167</v>
      </c>
      <c r="N14" s="1"/>
      <c r="O14" s="224"/>
    </row>
    <row r="15" spans="1:15" x14ac:dyDescent="0.2">
      <c r="A15" s="222"/>
      <c r="B15" s="235" t="s">
        <v>171</v>
      </c>
      <c r="C15" s="235"/>
      <c r="D15" s="235" t="s">
        <v>168</v>
      </c>
      <c r="E15" s="235"/>
      <c r="F15" s="235"/>
      <c r="G15" s="235" t="s">
        <v>168</v>
      </c>
      <c r="H15" s="235"/>
      <c r="I15" s="235"/>
      <c r="J15" s="235" t="s">
        <v>168</v>
      </c>
      <c r="K15" s="235"/>
      <c r="L15" s="235"/>
      <c r="M15" s="235" t="s">
        <v>168</v>
      </c>
      <c r="N15" s="1"/>
      <c r="O15" s="224"/>
    </row>
    <row r="16" spans="1:15" x14ac:dyDescent="0.2">
      <c r="A16" s="226"/>
      <c r="B16" s="227"/>
      <c r="C16" s="227"/>
      <c r="D16" s="227"/>
      <c r="E16" s="227"/>
      <c r="F16" s="227"/>
      <c r="G16" s="227"/>
      <c r="H16" s="227"/>
      <c r="I16" s="227"/>
      <c r="J16" s="227"/>
      <c r="K16" s="227"/>
      <c r="L16" s="227"/>
      <c r="M16" s="227"/>
      <c r="N16" s="227"/>
      <c r="O16" s="228"/>
    </row>
    <row r="17" spans="1:15" x14ac:dyDescent="0.2">
      <c r="A17" s="1"/>
      <c r="B17" s="1"/>
      <c r="C17" s="1"/>
      <c r="D17" s="1"/>
      <c r="E17" s="1"/>
      <c r="F17" s="1"/>
      <c r="G17" s="1"/>
      <c r="H17" s="1"/>
      <c r="I17" s="1"/>
      <c r="J17" s="1"/>
      <c r="K17" s="1"/>
      <c r="L17" s="1"/>
      <c r="M17" s="1"/>
      <c r="N17" s="1"/>
      <c r="O17" s="1"/>
    </row>
    <row r="18" spans="1:15" x14ac:dyDescent="0.2">
      <c r="A18" s="219"/>
      <c r="B18" s="220"/>
      <c r="C18" s="220"/>
      <c r="D18" s="220"/>
      <c r="E18" s="220"/>
      <c r="F18" s="220"/>
      <c r="G18" s="220"/>
      <c r="H18" s="220"/>
      <c r="I18" s="220"/>
      <c r="J18" s="220"/>
      <c r="K18" s="220"/>
      <c r="L18" s="220"/>
      <c r="M18" s="220"/>
      <c r="N18" s="220"/>
      <c r="O18" s="221"/>
    </row>
    <row r="19" spans="1:15" ht="18" x14ac:dyDescent="0.25">
      <c r="A19" s="222"/>
      <c r="B19" s="223" t="s">
        <v>173</v>
      </c>
      <c r="C19" s="223"/>
      <c r="D19" s="229" t="s">
        <v>175</v>
      </c>
      <c r="E19" s="1"/>
      <c r="F19" s="1"/>
      <c r="G19" s="1"/>
      <c r="H19" s="1"/>
      <c r="I19" s="1"/>
      <c r="J19" s="1"/>
      <c r="K19" s="1"/>
      <c r="L19" s="1"/>
      <c r="M19" s="1"/>
      <c r="N19" s="264" t="s">
        <v>160</v>
      </c>
      <c r="O19" s="265" t="s">
        <v>166</v>
      </c>
    </row>
    <row r="20" spans="1:15" ht="18" x14ac:dyDescent="0.25">
      <c r="A20" s="222"/>
      <c r="B20" s="1"/>
      <c r="C20" s="1"/>
      <c r="D20" s="229" t="s">
        <v>184</v>
      </c>
      <c r="E20" s="1"/>
      <c r="F20" s="1"/>
      <c r="G20" s="1"/>
      <c r="H20" s="1"/>
      <c r="I20" s="1"/>
      <c r="J20" s="1"/>
      <c r="K20" s="1"/>
      <c r="L20" s="1"/>
      <c r="M20" s="1"/>
      <c r="N20" s="1"/>
      <c r="O20" s="224"/>
    </row>
    <row r="21" spans="1:15" x14ac:dyDescent="0.2">
      <c r="A21" s="222"/>
      <c r="B21" s="1"/>
      <c r="C21" s="1"/>
      <c r="D21" s="1"/>
      <c r="E21" s="1"/>
      <c r="F21" s="1"/>
      <c r="G21" s="1"/>
      <c r="H21" s="1"/>
      <c r="I21" s="1"/>
      <c r="J21" s="1"/>
      <c r="K21" s="1"/>
      <c r="L21" s="1"/>
      <c r="M21" s="1"/>
      <c r="N21" s="1"/>
      <c r="O21" s="224"/>
    </row>
    <row r="22" spans="1:15" ht="111" customHeight="1" x14ac:dyDescent="0.2">
      <c r="A22" s="222"/>
      <c r="B22" s="1"/>
      <c r="C22" s="1"/>
      <c r="D22" s="216" t="s">
        <v>158</v>
      </c>
      <c r="E22" s="217"/>
      <c r="F22" s="1"/>
      <c r="G22" s="736" t="s">
        <v>156</v>
      </c>
      <c r="H22" s="217"/>
      <c r="I22" s="1"/>
      <c r="J22" s="736" t="s">
        <v>157</v>
      </c>
      <c r="K22" s="217"/>
      <c r="L22" s="1"/>
      <c r="M22" s="216" t="s">
        <v>159</v>
      </c>
      <c r="N22" s="1"/>
      <c r="O22" s="224"/>
    </row>
    <row r="23" spans="1:15" ht="55.5" customHeight="1" x14ac:dyDescent="0.2">
      <c r="A23" s="222"/>
      <c r="B23" s="1"/>
      <c r="C23" s="1"/>
      <c r="D23" s="215"/>
      <c r="E23" s="218"/>
      <c r="F23" s="1"/>
      <c r="G23" s="737"/>
      <c r="H23" s="218"/>
      <c r="I23" s="1"/>
      <c r="J23" s="737"/>
      <c r="K23" s="218"/>
      <c r="L23" s="1"/>
      <c r="M23" s="215"/>
      <c r="N23" s="1"/>
      <c r="O23" s="224"/>
    </row>
    <row r="24" spans="1:15" ht="18" x14ac:dyDescent="0.2">
      <c r="A24" s="222"/>
      <c r="B24" s="1"/>
      <c r="C24" s="225" t="s">
        <v>160</v>
      </c>
      <c r="D24" s="246"/>
      <c r="E24" s="1"/>
      <c r="F24" s="225" t="s">
        <v>160</v>
      </c>
      <c r="G24" s="245"/>
      <c r="H24" s="1"/>
      <c r="I24" s="225" t="s">
        <v>160</v>
      </c>
      <c r="J24" s="245"/>
      <c r="K24" s="1"/>
      <c r="L24" s="225" t="s">
        <v>160</v>
      </c>
      <c r="M24" s="246"/>
      <c r="N24" s="1"/>
      <c r="O24" s="224"/>
    </row>
    <row r="25" spans="1:15" ht="43.5" customHeight="1" x14ac:dyDescent="0.2">
      <c r="A25" s="222"/>
      <c r="B25" s="1"/>
      <c r="C25" s="1"/>
      <c r="D25" s="738" t="s">
        <v>171</v>
      </c>
      <c r="E25" s="742"/>
      <c r="F25" s="742"/>
      <c r="G25" s="742"/>
      <c r="H25" s="742"/>
      <c r="I25" s="742"/>
      <c r="J25" s="742"/>
      <c r="K25" s="742"/>
      <c r="L25" s="742"/>
      <c r="M25" s="739"/>
      <c r="N25" s="1"/>
      <c r="O25" s="224"/>
    </row>
    <row r="26" spans="1:15" x14ac:dyDescent="0.2">
      <c r="A26" s="222"/>
      <c r="B26" s="1"/>
      <c r="C26" s="1"/>
      <c r="D26" s="1"/>
      <c r="E26" s="1"/>
      <c r="F26" s="1"/>
      <c r="G26" s="1"/>
      <c r="H26" s="1"/>
      <c r="I26" s="1"/>
      <c r="J26" s="1"/>
      <c r="K26" s="1"/>
      <c r="L26" s="1"/>
      <c r="M26" s="1"/>
      <c r="N26" s="1"/>
      <c r="O26" s="224"/>
    </row>
    <row r="27" spans="1:15" x14ac:dyDescent="0.2">
      <c r="A27" s="222"/>
      <c r="B27" s="1"/>
      <c r="C27" s="1"/>
      <c r="D27" s="1"/>
      <c r="E27" s="1"/>
      <c r="F27" s="1"/>
      <c r="G27" s="1"/>
      <c r="H27" s="1"/>
      <c r="I27" s="1"/>
      <c r="J27" s="1"/>
      <c r="K27" s="1"/>
      <c r="L27" s="1"/>
      <c r="M27" s="1"/>
      <c r="N27" s="1"/>
      <c r="O27" s="224"/>
    </row>
    <row r="28" spans="1:15" x14ac:dyDescent="0.2">
      <c r="A28" s="222"/>
      <c r="B28" s="233" t="s">
        <v>165</v>
      </c>
      <c r="C28" s="233"/>
      <c r="D28" s="233" t="s">
        <v>170</v>
      </c>
      <c r="E28" s="233"/>
      <c r="F28" s="233"/>
      <c r="G28" s="233" t="s">
        <v>169</v>
      </c>
      <c r="H28" s="233"/>
      <c r="I28" s="233"/>
      <c r="J28" s="233" t="s">
        <v>178</v>
      </c>
      <c r="K28" s="233"/>
      <c r="L28" s="233"/>
      <c r="M28" s="233" t="s">
        <v>170</v>
      </c>
      <c r="N28" s="1"/>
      <c r="O28" s="224"/>
    </row>
    <row r="29" spans="1:15" x14ac:dyDescent="0.2">
      <c r="A29" s="222"/>
      <c r="B29" s="233" t="s">
        <v>183</v>
      </c>
      <c r="C29" s="233"/>
      <c r="D29" s="233" t="s">
        <v>167</v>
      </c>
      <c r="E29" s="233"/>
      <c r="F29" s="233"/>
      <c r="G29" s="233" t="s">
        <v>168</v>
      </c>
      <c r="H29" s="233"/>
      <c r="I29" s="233"/>
      <c r="J29" s="233" t="s">
        <v>168</v>
      </c>
      <c r="K29" s="233"/>
      <c r="L29" s="233"/>
      <c r="M29" s="233" t="s">
        <v>167</v>
      </c>
      <c r="N29" s="1"/>
      <c r="O29" s="224"/>
    </row>
    <row r="30" spans="1:15" x14ac:dyDescent="0.2">
      <c r="A30" s="222"/>
      <c r="B30" s="235" t="s">
        <v>171</v>
      </c>
      <c r="C30" s="235"/>
      <c r="D30" s="748" t="s">
        <v>168</v>
      </c>
      <c r="E30" s="748"/>
      <c r="F30" s="748"/>
      <c r="G30" s="748"/>
      <c r="H30" s="748"/>
      <c r="I30" s="748"/>
      <c r="J30" s="748"/>
      <c r="K30" s="748"/>
      <c r="L30" s="748"/>
      <c r="M30" s="748"/>
      <c r="N30" s="1"/>
      <c r="O30" s="224"/>
    </row>
    <row r="31" spans="1:15" x14ac:dyDescent="0.2">
      <c r="A31" s="226"/>
      <c r="B31" s="227"/>
      <c r="C31" s="227"/>
      <c r="D31" s="227"/>
      <c r="E31" s="227"/>
      <c r="F31" s="227"/>
      <c r="G31" s="227"/>
      <c r="H31" s="227"/>
      <c r="I31" s="227"/>
      <c r="J31" s="227"/>
      <c r="K31" s="227"/>
      <c r="L31" s="227"/>
      <c r="M31" s="227"/>
      <c r="N31" s="227"/>
      <c r="O31" s="228"/>
    </row>
    <row r="32" spans="1:15" x14ac:dyDescent="0.2">
      <c r="A32" s="1"/>
      <c r="B32" s="1"/>
      <c r="C32" s="1"/>
      <c r="D32" s="1"/>
      <c r="E32" s="1"/>
      <c r="F32" s="1"/>
      <c r="G32" s="1"/>
      <c r="H32" s="1"/>
      <c r="I32" s="1"/>
      <c r="J32" s="1"/>
      <c r="K32" s="1"/>
      <c r="L32" s="1"/>
      <c r="M32" s="1"/>
      <c r="N32" s="1"/>
      <c r="O32" s="1"/>
    </row>
    <row r="33" spans="1:17" x14ac:dyDescent="0.2">
      <c r="A33" s="1"/>
      <c r="B33" s="1"/>
      <c r="C33" s="1"/>
      <c r="D33" s="1"/>
      <c r="E33" s="1"/>
      <c r="F33" s="1"/>
      <c r="G33" s="1"/>
      <c r="H33" s="1"/>
      <c r="I33" s="1"/>
      <c r="J33" s="1"/>
      <c r="K33" s="1"/>
      <c r="L33" s="1"/>
      <c r="M33" s="1"/>
      <c r="N33" s="1"/>
      <c r="O33" s="1"/>
    </row>
    <row r="34" spans="1:17" x14ac:dyDescent="0.2">
      <c r="A34" s="219"/>
      <c r="B34" s="220"/>
      <c r="C34" s="220"/>
      <c r="D34" s="220"/>
      <c r="E34" s="220"/>
      <c r="F34" s="220"/>
      <c r="G34" s="220"/>
      <c r="H34" s="220"/>
      <c r="I34" s="220"/>
      <c r="J34" s="220"/>
      <c r="K34" s="220"/>
      <c r="L34" s="220"/>
      <c r="M34" s="220"/>
      <c r="N34" s="220"/>
      <c r="O34" s="221"/>
    </row>
    <row r="35" spans="1:17" ht="18" x14ac:dyDescent="0.25">
      <c r="A35" s="222"/>
      <c r="B35" s="223" t="s">
        <v>181</v>
      </c>
      <c r="C35" s="223"/>
      <c r="D35" s="229" t="s">
        <v>195</v>
      </c>
      <c r="E35" s="1"/>
      <c r="F35" s="1"/>
      <c r="G35" s="1"/>
      <c r="H35" s="1"/>
      <c r="I35" s="1"/>
      <c r="J35" s="1"/>
      <c r="K35" s="1"/>
      <c r="L35" s="1"/>
      <c r="M35" s="1"/>
      <c r="N35" s="1"/>
      <c r="O35" s="224"/>
      <c r="Q35" t="s">
        <v>180</v>
      </c>
    </row>
    <row r="36" spans="1:17" ht="18" x14ac:dyDescent="0.25">
      <c r="A36" s="222"/>
      <c r="B36" s="1"/>
      <c r="C36" s="1"/>
      <c r="D36" s="229" t="s">
        <v>174</v>
      </c>
      <c r="E36" s="1"/>
      <c r="F36" s="1"/>
      <c r="G36" s="1"/>
      <c r="H36" s="1"/>
      <c r="I36" s="1"/>
      <c r="J36" s="1"/>
      <c r="K36" s="1"/>
      <c r="L36" s="1"/>
      <c r="M36" s="1"/>
      <c r="N36" s="118" t="s">
        <v>177</v>
      </c>
      <c r="O36" s="224"/>
    </row>
    <row r="37" spans="1:17" x14ac:dyDescent="0.2">
      <c r="A37" s="222"/>
      <c r="B37" s="1"/>
      <c r="C37" s="1"/>
      <c r="D37" s="1"/>
      <c r="E37" s="1"/>
      <c r="F37" s="1"/>
      <c r="G37" s="1"/>
      <c r="H37" s="1"/>
      <c r="I37" s="1"/>
      <c r="J37" s="1"/>
      <c r="K37" s="1"/>
      <c r="L37" s="1"/>
      <c r="M37" s="1"/>
      <c r="N37" s="1"/>
      <c r="O37" s="224"/>
    </row>
    <row r="38" spans="1:17" ht="111" customHeight="1" x14ac:dyDescent="0.2">
      <c r="A38" s="222"/>
      <c r="B38" s="1"/>
      <c r="C38" s="1"/>
      <c r="D38" s="216" t="s">
        <v>158</v>
      </c>
      <c r="E38" s="217"/>
      <c r="F38" s="1"/>
      <c r="G38" s="230" t="s">
        <v>156</v>
      </c>
      <c r="H38" s="217"/>
      <c r="I38" s="1"/>
      <c r="J38" s="230" t="s">
        <v>157</v>
      </c>
      <c r="K38" s="217"/>
      <c r="L38" s="1"/>
      <c r="M38" s="216" t="s">
        <v>159</v>
      </c>
      <c r="N38" s="1"/>
      <c r="O38" s="224"/>
    </row>
    <row r="39" spans="1:17" ht="55.5" customHeight="1" x14ac:dyDescent="0.2">
      <c r="A39" s="222"/>
      <c r="B39" s="1"/>
      <c r="C39" s="1"/>
      <c r="D39" s="231" t="s">
        <v>176</v>
      </c>
      <c r="E39" s="218"/>
      <c r="F39" s="1"/>
      <c r="G39" s="232" t="s">
        <v>176</v>
      </c>
      <c r="H39" s="218"/>
      <c r="I39" s="1"/>
      <c r="J39" s="232" t="s">
        <v>176</v>
      </c>
      <c r="K39" s="218"/>
      <c r="L39" s="1"/>
      <c r="M39" s="231" t="s">
        <v>176</v>
      </c>
      <c r="N39" s="1"/>
      <c r="O39" s="224"/>
    </row>
    <row r="40" spans="1:17" ht="18" x14ac:dyDescent="0.2">
      <c r="A40" s="222"/>
      <c r="B40" s="1"/>
      <c r="C40" s="225" t="s">
        <v>160</v>
      </c>
      <c r="D40" s="247"/>
      <c r="E40" s="248"/>
      <c r="F40" s="251"/>
      <c r="G40" s="252"/>
      <c r="H40" s="253"/>
      <c r="I40" s="251"/>
      <c r="J40" s="252"/>
      <c r="K40" s="253"/>
      <c r="L40" s="257"/>
      <c r="M40" s="258"/>
      <c r="N40" s="1"/>
      <c r="O40" s="224"/>
    </row>
    <row r="41" spans="1:17" ht="15" customHeight="1" x14ac:dyDescent="0.2">
      <c r="A41" s="222"/>
      <c r="B41" s="1"/>
      <c r="C41" s="225"/>
      <c r="D41" s="249" t="s">
        <v>176</v>
      </c>
      <c r="E41" s="250"/>
      <c r="F41" s="254"/>
      <c r="G41" s="255" t="s">
        <v>176</v>
      </c>
      <c r="H41" s="256"/>
      <c r="I41" s="254"/>
      <c r="J41" s="255" t="s">
        <v>176</v>
      </c>
      <c r="K41" s="256"/>
      <c r="L41" s="259"/>
      <c r="M41" s="260" t="s">
        <v>176</v>
      </c>
      <c r="N41" s="1"/>
      <c r="O41" s="224"/>
    </row>
    <row r="42" spans="1:17" ht="43.5" customHeight="1" x14ac:dyDescent="0.2">
      <c r="A42" s="222"/>
      <c r="B42" s="1"/>
      <c r="C42" s="1"/>
      <c r="D42" s="740" t="s">
        <v>161</v>
      </c>
      <c r="E42" s="741"/>
      <c r="F42" s="749" t="s">
        <v>162</v>
      </c>
      <c r="G42" s="750"/>
      <c r="H42" s="751"/>
      <c r="I42" s="749" t="s">
        <v>163</v>
      </c>
      <c r="J42" s="750"/>
      <c r="K42" s="750"/>
      <c r="L42" s="740" t="s">
        <v>164</v>
      </c>
      <c r="M42" s="741"/>
      <c r="N42" s="1"/>
      <c r="O42" s="224"/>
    </row>
    <row r="43" spans="1:17" x14ac:dyDescent="0.2">
      <c r="A43" s="222"/>
      <c r="B43" s="1"/>
      <c r="C43" s="1"/>
      <c r="D43" s="1"/>
      <c r="E43" s="1"/>
      <c r="F43" s="1"/>
      <c r="G43" s="1"/>
      <c r="H43" s="1"/>
      <c r="I43" s="1"/>
      <c r="J43" s="1"/>
      <c r="K43" s="1"/>
      <c r="L43" s="1"/>
      <c r="M43" s="1"/>
      <c r="N43" s="1"/>
      <c r="O43" s="224"/>
    </row>
    <row r="44" spans="1:17" x14ac:dyDescent="0.2">
      <c r="A44" s="222"/>
      <c r="B44" s="1"/>
      <c r="C44" s="1"/>
      <c r="D44" s="1"/>
      <c r="E44" s="1"/>
      <c r="F44" s="1"/>
      <c r="G44" s="1"/>
      <c r="H44" s="1"/>
      <c r="I44" s="1"/>
      <c r="J44" s="1"/>
      <c r="K44" s="1"/>
      <c r="L44" s="1"/>
      <c r="M44" s="1"/>
      <c r="N44" s="1"/>
      <c r="O44" s="224"/>
    </row>
    <row r="45" spans="1:17" x14ac:dyDescent="0.2">
      <c r="A45" s="222"/>
      <c r="B45" s="233" t="s">
        <v>165</v>
      </c>
      <c r="C45" s="233"/>
      <c r="D45" s="233" t="s">
        <v>170</v>
      </c>
      <c r="E45" s="233"/>
      <c r="F45" s="233"/>
      <c r="G45" s="233" t="s">
        <v>169</v>
      </c>
      <c r="H45" s="233"/>
      <c r="I45" s="233"/>
      <c r="J45" s="233" t="s">
        <v>178</v>
      </c>
      <c r="K45" s="233"/>
      <c r="L45" s="233"/>
      <c r="M45" s="233" t="s">
        <v>170</v>
      </c>
      <c r="N45" s="1"/>
      <c r="O45" s="224"/>
    </row>
    <row r="46" spans="1:17" x14ac:dyDescent="0.2">
      <c r="A46" s="222"/>
      <c r="B46" s="234" t="s">
        <v>166</v>
      </c>
      <c r="C46" s="234"/>
      <c r="D46" s="752" t="s">
        <v>179</v>
      </c>
      <c r="E46" s="752"/>
      <c r="F46" s="752"/>
      <c r="G46" s="752"/>
      <c r="H46" s="752"/>
      <c r="I46" s="752"/>
      <c r="J46" s="752"/>
      <c r="K46" s="752"/>
      <c r="L46" s="752"/>
      <c r="M46" s="752"/>
      <c r="N46" s="1"/>
      <c r="O46" s="224"/>
    </row>
    <row r="47" spans="1:17" x14ac:dyDescent="0.2">
      <c r="A47" s="222"/>
      <c r="B47" s="233" t="s">
        <v>171</v>
      </c>
      <c r="C47" s="233"/>
      <c r="D47" s="747"/>
      <c r="E47" s="747"/>
      <c r="F47" s="747"/>
      <c r="G47" s="747"/>
      <c r="H47" s="747"/>
      <c r="I47" s="747"/>
      <c r="J47" s="747"/>
      <c r="K47" s="747"/>
      <c r="L47" s="747"/>
      <c r="M47" s="747"/>
      <c r="N47" s="1"/>
      <c r="O47" s="224"/>
    </row>
    <row r="48" spans="1:17" x14ac:dyDescent="0.2">
      <c r="A48" s="226"/>
      <c r="B48" s="227"/>
      <c r="C48" s="227"/>
      <c r="D48" s="227"/>
      <c r="E48" s="227"/>
      <c r="F48" s="227"/>
      <c r="G48" s="227"/>
      <c r="H48" s="227"/>
      <c r="I48" s="227"/>
      <c r="J48" s="227"/>
      <c r="K48" s="227"/>
      <c r="L48" s="227"/>
      <c r="M48" s="227"/>
      <c r="N48" s="227"/>
      <c r="O48" s="228"/>
    </row>
    <row r="51" spans="1:15" x14ac:dyDescent="0.2">
      <c r="A51" s="219"/>
      <c r="B51" s="220"/>
      <c r="C51" s="220"/>
      <c r="D51" s="220"/>
      <c r="E51" s="220"/>
      <c r="F51" s="220"/>
      <c r="G51" s="220"/>
      <c r="H51" s="220"/>
      <c r="I51" s="220"/>
      <c r="J51" s="220"/>
      <c r="K51" s="220"/>
      <c r="L51" s="220"/>
      <c r="M51" s="220"/>
      <c r="N51" s="220"/>
      <c r="O51" s="221"/>
    </row>
    <row r="52" spans="1:15" ht="18" x14ac:dyDescent="0.25">
      <c r="A52" s="222"/>
      <c r="B52" s="223" t="s">
        <v>185</v>
      </c>
      <c r="C52" s="223"/>
      <c r="D52" s="229" t="s">
        <v>195</v>
      </c>
      <c r="E52" s="1"/>
      <c r="F52" s="1"/>
      <c r="G52" s="1"/>
      <c r="H52" s="1"/>
      <c r="I52" s="1"/>
      <c r="J52" s="1"/>
      <c r="K52" s="1"/>
      <c r="L52" s="1"/>
      <c r="M52" s="1"/>
      <c r="N52" s="264" t="s">
        <v>160</v>
      </c>
      <c r="O52" s="265" t="s">
        <v>166</v>
      </c>
    </row>
    <row r="53" spans="1:15" ht="18" x14ac:dyDescent="0.25">
      <c r="A53" s="222"/>
      <c r="B53" s="1"/>
      <c r="C53" s="1"/>
      <c r="D53" s="229" t="s">
        <v>184</v>
      </c>
      <c r="E53" s="1"/>
      <c r="F53" s="1"/>
      <c r="G53" s="1"/>
      <c r="H53" s="1"/>
      <c r="I53" s="1"/>
      <c r="J53" s="1"/>
      <c r="K53" s="1"/>
      <c r="L53" s="1"/>
      <c r="M53" s="1"/>
      <c r="N53" s="118"/>
      <c r="O53" s="224"/>
    </row>
    <row r="54" spans="1:15" x14ac:dyDescent="0.2">
      <c r="A54" s="222"/>
      <c r="B54" s="1"/>
      <c r="C54" s="1"/>
      <c r="D54" s="1"/>
      <c r="E54" s="1"/>
      <c r="F54" s="1"/>
      <c r="G54" s="1"/>
      <c r="H54" s="1"/>
      <c r="I54" s="1"/>
      <c r="J54" s="1"/>
      <c r="K54" s="1"/>
      <c r="L54" s="1"/>
      <c r="M54" s="1"/>
      <c r="N54" s="1"/>
      <c r="O54" s="224"/>
    </row>
    <row r="55" spans="1:15" ht="111" customHeight="1" x14ac:dyDescent="0.2">
      <c r="A55" s="222"/>
      <c r="B55" s="1"/>
      <c r="C55" s="1"/>
      <c r="D55" s="216" t="s">
        <v>158</v>
      </c>
      <c r="E55" s="217"/>
      <c r="F55" s="1"/>
      <c r="G55" s="230" t="s">
        <v>156</v>
      </c>
      <c r="H55" s="217"/>
      <c r="I55" s="1"/>
      <c r="J55" s="230" t="s">
        <v>157</v>
      </c>
      <c r="K55" s="217"/>
      <c r="L55" s="1"/>
      <c r="M55" s="216" t="s">
        <v>159</v>
      </c>
      <c r="N55" s="1"/>
      <c r="O55" s="224"/>
    </row>
    <row r="56" spans="1:15" ht="55.5" customHeight="1" x14ac:dyDescent="0.2">
      <c r="A56" s="222"/>
      <c r="B56" s="1"/>
      <c r="C56" s="1"/>
      <c r="D56" s="231"/>
      <c r="E56" s="218"/>
      <c r="F56" s="1"/>
      <c r="G56" s="232"/>
      <c r="H56" s="218"/>
      <c r="I56" s="1"/>
      <c r="J56" s="232"/>
      <c r="K56" s="218"/>
      <c r="L56" s="1"/>
      <c r="M56" s="231"/>
      <c r="N56" s="1"/>
      <c r="O56" s="224"/>
    </row>
    <row r="57" spans="1:15" ht="18" x14ac:dyDescent="0.2">
      <c r="A57" s="222"/>
      <c r="B57" s="1"/>
      <c r="C57" s="225" t="s">
        <v>160</v>
      </c>
      <c r="D57" s="247"/>
      <c r="E57" s="261"/>
      <c r="F57" s="257"/>
      <c r="G57" s="262"/>
      <c r="H57" s="261"/>
      <c r="I57" s="257"/>
      <c r="J57" s="262"/>
      <c r="K57" s="261"/>
      <c r="L57" s="257"/>
      <c r="M57" s="258"/>
      <c r="N57" s="1"/>
      <c r="O57" s="224"/>
    </row>
    <row r="58" spans="1:15" ht="18" x14ac:dyDescent="0.2">
      <c r="A58" s="222"/>
      <c r="B58" s="1"/>
      <c r="C58" s="225"/>
      <c r="D58" s="249"/>
      <c r="E58" s="250"/>
      <c r="F58" s="259"/>
      <c r="G58" s="263"/>
      <c r="H58" s="746"/>
      <c r="I58" s="746"/>
      <c r="J58" s="263"/>
      <c r="K58" s="250"/>
      <c r="L58" s="259"/>
      <c r="M58" s="260"/>
      <c r="N58" s="1"/>
      <c r="O58" s="224"/>
    </row>
    <row r="59" spans="1:15" ht="43.5" customHeight="1" x14ac:dyDescent="0.2">
      <c r="A59" s="222"/>
      <c r="B59" s="1"/>
      <c r="C59" s="1"/>
      <c r="D59" s="743" t="s">
        <v>171</v>
      </c>
      <c r="E59" s="744"/>
      <c r="F59" s="744"/>
      <c r="G59" s="744"/>
      <c r="H59" s="744"/>
      <c r="I59" s="744"/>
      <c r="J59" s="744"/>
      <c r="K59" s="744"/>
      <c r="L59" s="744"/>
      <c r="M59" s="745"/>
      <c r="N59" s="1"/>
      <c r="O59" s="224"/>
    </row>
    <row r="60" spans="1:15" x14ac:dyDescent="0.2">
      <c r="A60" s="222"/>
      <c r="B60" s="1"/>
      <c r="C60" s="1"/>
      <c r="D60" s="1"/>
      <c r="E60" s="1"/>
      <c r="F60" s="1"/>
      <c r="G60" s="1"/>
      <c r="H60" s="1"/>
      <c r="I60" s="1"/>
      <c r="J60" s="1"/>
      <c r="K60" s="1"/>
      <c r="L60" s="1"/>
      <c r="M60" s="1"/>
      <c r="N60" s="1"/>
      <c r="O60" s="224"/>
    </row>
    <row r="61" spans="1:15" x14ac:dyDescent="0.2">
      <c r="A61" s="222"/>
      <c r="B61" s="1"/>
      <c r="C61" s="1"/>
      <c r="D61" s="1"/>
      <c r="E61" s="1"/>
      <c r="F61" s="1"/>
      <c r="G61" s="1"/>
      <c r="H61" s="1"/>
      <c r="I61" s="1"/>
      <c r="J61" s="1"/>
      <c r="K61" s="1"/>
      <c r="L61" s="1"/>
      <c r="M61" s="1"/>
      <c r="N61" s="1"/>
      <c r="O61" s="224"/>
    </row>
    <row r="62" spans="1:15" x14ac:dyDescent="0.2">
      <c r="A62" s="222"/>
      <c r="B62" s="233" t="s">
        <v>165</v>
      </c>
      <c r="C62" s="233"/>
      <c r="D62" s="233" t="s">
        <v>170</v>
      </c>
      <c r="E62" s="233"/>
      <c r="F62" s="233"/>
      <c r="G62" s="233" t="s">
        <v>169</v>
      </c>
      <c r="H62" s="233"/>
      <c r="I62" s="233"/>
      <c r="J62" s="233" t="s">
        <v>178</v>
      </c>
      <c r="K62" s="233"/>
      <c r="L62" s="233"/>
      <c r="M62" s="233" t="s">
        <v>170</v>
      </c>
      <c r="N62" s="1"/>
      <c r="O62" s="224"/>
    </row>
    <row r="63" spans="1:15" x14ac:dyDescent="0.2">
      <c r="A63" s="222"/>
      <c r="B63" s="234"/>
      <c r="C63" s="234"/>
      <c r="D63" s="100"/>
      <c r="E63" s="100"/>
      <c r="F63" s="100"/>
      <c r="G63" s="100"/>
      <c r="H63" s="100"/>
      <c r="I63" s="100"/>
      <c r="J63" s="100"/>
      <c r="K63" s="100"/>
      <c r="L63" s="100"/>
      <c r="M63" s="100"/>
      <c r="N63" s="1"/>
      <c r="O63" s="224"/>
    </row>
    <row r="64" spans="1:15" x14ac:dyDescent="0.2">
      <c r="A64" s="222"/>
      <c r="B64" s="233" t="s">
        <v>171</v>
      </c>
      <c r="C64" s="233"/>
      <c r="D64" s="747" t="s">
        <v>167</v>
      </c>
      <c r="E64" s="747"/>
      <c r="F64" s="747"/>
      <c r="G64" s="747"/>
      <c r="H64" s="747"/>
      <c r="I64" s="747"/>
      <c r="J64" s="747"/>
      <c r="K64" s="747"/>
      <c r="L64" s="747"/>
      <c r="M64" s="747"/>
      <c r="N64" s="1"/>
      <c r="O64" s="224"/>
    </row>
    <row r="65" spans="1:15" x14ac:dyDescent="0.2">
      <c r="A65" s="226"/>
      <c r="B65" s="227"/>
      <c r="C65" s="227"/>
      <c r="D65" s="227"/>
      <c r="E65" s="227"/>
      <c r="F65" s="227"/>
      <c r="G65" s="227"/>
      <c r="H65" s="227"/>
      <c r="I65" s="227"/>
      <c r="J65" s="227"/>
      <c r="K65" s="227"/>
      <c r="L65" s="227"/>
      <c r="M65" s="227"/>
      <c r="N65" s="227"/>
      <c r="O65" s="228"/>
    </row>
  </sheetData>
  <mergeCells count="18">
    <mergeCell ref="D59:M59"/>
    <mergeCell ref="H58:I58"/>
    <mergeCell ref="D64:M64"/>
    <mergeCell ref="D25:M25"/>
    <mergeCell ref="D30:M30"/>
    <mergeCell ref="F42:H42"/>
    <mergeCell ref="I42:K42"/>
    <mergeCell ref="L42:M42"/>
    <mergeCell ref="D46:M47"/>
    <mergeCell ref="G22:G23"/>
    <mergeCell ref="J22:J23"/>
    <mergeCell ref="L10:M10"/>
    <mergeCell ref="D42:E42"/>
    <mergeCell ref="J7:J8"/>
    <mergeCell ref="G7:G8"/>
    <mergeCell ref="D10:E10"/>
    <mergeCell ref="F10:H10"/>
    <mergeCell ref="I10:K10"/>
  </mergeCells>
  <printOptions horizontalCentered="1"/>
  <pageMargins left="0.59055118110236227" right="0.59055118110236227" top="0.59055118110236227" bottom="0.59055118110236227" header="0.31496062992125984" footer="0.39370078740157483"/>
  <pageSetup paperSize="9" scale="84" orientation="portrait" r:id="rId1"/>
  <headerFooter>
    <oddFooter>&amp;L&amp;8Dr. Hansjörg Nußbaum, LAZBW Aulendorf; 
LEL Schwäbisch Gmünd, Abt. 2+3&amp;C&amp;8Lagerraumbedarf für Wirtschaftsdünger
&amp;A&amp;R&amp;8Version 0.94
22.06.2018</oddFooter>
  </headerFooter>
  <rowBreaks count="1" manualBreakCount="1">
    <brk id="32" max="16383" man="1"/>
  </rowBreaks>
  <colBreaks count="1" manualBreakCount="1">
    <brk id="1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B2" sqref="B2"/>
    </sheetView>
  </sheetViews>
  <sheetFormatPr baseColWidth="10" defaultRowHeight="14.25" x14ac:dyDescent="0.2"/>
  <sheetData>
    <row r="1" spans="1:2" x14ac:dyDescent="0.2">
      <c r="A1" t="s">
        <v>221</v>
      </c>
      <c r="B1" s="455">
        <f ca="1">TODAY()</f>
        <v>43865</v>
      </c>
    </row>
    <row r="2" spans="1:2" x14ac:dyDescent="0.2">
      <c r="A2" t="s">
        <v>222</v>
      </c>
      <c r="B2" s="454">
        <v>72867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9</vt:i4>
      </vt:variant>
    </vt:vector>
  </HeadingPairs>
  <TitlesOfParts>
    <vt:vector size="18" baseType="lpstr">
      <vt:lpstr>Hinweise</vt:lpstr>
      <vt:lpstr>Kapazitäten flüssig</vt:lpstr>
      <vt:lpstr>Kapazitäten fest</vt:lpstr>
      <vt:lpstr>Sickersaft</vt:lpstr>
      <vt:lpstr>Weitere Zuflüsse</vt:lpstr>
      <vt:lpstr>Ergebnis</vt:lpstr>
      <vt:lpstr>Klimadaten</vt:lpstr>
      <vt:lpstr>Beispiele</vt:lpstr>
      <vt:lpstr>Tabelle2</vt:lpstr>
      <vt:lpstr>Datenbank</vt:lpstr>
      <vt:lpstr>Beispiele!Druckbereich</vt:lpstr>
      <vt:lpstr>Ergebnis!Druckbereich</vt:lpstr>
      <vt:lpstr>Hinweise!Druckbereich</vt:lpstr>
      <vt:lpstr>'Kapazitäten fest'!Druckbereich</vt:lpstr>
      <vt:lpstr>'Kapazitäten flüssig'!Druckbereich</vt:lpstr>
      <vt:lpstr>Sickersaft!Druckbereich</vt:lpstr>
      <vt:lpstr>'Weitere Zuflüsse'!Druckbereich</vt:lpstr>
      <vt:lpstr>Klimadaten!Drucktitel</vt:lpstr>
    </vt:vector>
  </TitlesOfParts>
  <Company>LGL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Müller, Richard (LEL)</dc:creator>
  <cp:lastModifiedBy>Schulze Annegret</cp:lastModifiedBy>
  <cp:lastPrinted>2019-07-02T06:28:10Z</cp:lastPrinted>
  <dcterms:created xsi:type="dcterms:W3CDTF">2014-03-10T12:19:43Z</dcterms:created>
  <dcterms:modified xsi:type="dcterms:W3CDTF">2020-02-04T08:44:42Z</dcterms:modified>
</cp:coreProperties>
</file>