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7" yWindow="136" windowWidth="17484" windowHeight="10365"/>
  </bookViews>
  <sheets>
    <sheet name="Erläuterungen" sheetId="4" r:id="rId1"/>
    <sheet name="Rassevergleich Bullenmast" sheetId="1" r:id="rId2"/>
    <sheet name="Erlös Kälber" sheetId="5" r:id="rId3"/>
  </sheets>
  <definedNames>
    <definedName name="_xlnm.Print_Area" localSheetId="1">'Rassevergleich Bullenmast'!$B$2:$F$33</definedName>
    <definedName name="efm">#REF!</definedName>
    <definedName name="efz">#REF!</definedName>
    <definedName name="Energy">#REF!</definedName>
    <definedName name="eo">#REF!</definedName>
    <definedName name="eSbt">#REF!</definedName>
    <definedName name="g">#REF!</definedName>
    <definedName name="gfm">#REF!</definedName>
    <definedName name="gfz">#REF!</definedName>
    <definedName name="go">#REF!</definedName>
    <definedName name="gsbt">#REF!</definedName>
    <definedName name="kg">#REF!</definedName>
    <definedName name="kgfm">#REF!</definedName>
    <definedName name="kgfz">#REF!</definedName>
    <definedName name="kgo">#REF!</definedName>
    <definedName name="kgSbt">#REF!</definedName>
  </definedNames>
  <calcPr calcId="145621"/>
</workbook>
</file>

<file path=xl/calcChain.xml><?xml version="1.0" encoding="utf-8"?>
<calcChain xmlns="http://schemas.openxmlformats.org/spreadsheetml/2006/main">
  <c r="F29" i="1" l="1"/>
  <c r="F19" i="1" l="1"/>
  <c r="E19" i="1"/>
  <c r="M23" i="1"/>
  <c r="M22" i="1"/>
  <c r="L23" i="1"/>
  <c r="L22" i="1"/>
  <c r="J28" i="1"/>
  <c r="D39" i="1" l="1"/>
  <c r="E39" i="1"/>
  <c r="F13" i="1" l="1"/>
  <c r="F10" i="1"/>
  <c r="F26" i="1" s="1"/>
  <c r="F18" i="1" l="1"/>
  <c r="F46" i="1"/>
  <c r="F39" i="1"/>
  <c r="F50" i="1"/>
  <c r="F42" i="1"/>
  <c r="F15" i="1"/>
  <c r="F41" i="1" l="1"/>
  <c r="F44" i="1" s="1"/>
  <c r="F47" i="1" s="1"/>
  <c r="F51" i="1" s="1"/>
  <c r="G12" i="5"/>
  <c r="G11" i="5"/>
  <c r="G10" i="5"/>
  <c r="G8" i="5"/>
  <c r="F48" i="1" l="1"/>
  <c r="F43" i="1"/>
  <c r="F20" i="1" s="1"/>
  <c r="D13" i="1"/>
  <c r="E13" i="1"/>
  <c r="H12" i="5" l="1"/>
  <c r="H11" i="5"/>
  <c r="F52" i="1" l="1"/>
  <c r="F21" i="1"/>
  <c r="F22" i="1" s="1"/>
  <c r="F30" i="1" s="1"/>
  <c r="F31" i="1" s="1"/>
  <c r="H9" i="5"/>
  <c r="H15" i="5" s="1"/>
  <c r="F33" i="1" l="1"/>
  <c r="F32" i="1"/>
  <c r="F53" i="1"/>
  <c r="F24" i="1" s="1"/>
  <c r="F23" i="1" s="1"/>
  <c r="E50" i="1"/>
  <c r="D50" i="1"/>
  <c r="E10" i="1"/>
  <c r="E46" i="1" s="1"/>
  <c r="D10" i="1"/>
  <c r="D46" i="1" l="1"/>
  <c r="J26" i="1"/>
  <c r="E42" i="1"/>
  <c r="D42" i="1"/>
  <c r="F10" i="5" l="1"/>
  <c r="F8" i="5"/>
  <c r="E29" i="1"/>
  <c r="G15" i="5" l="1"/>
  <c r="F15" i="5"/>
  <c r="H17" i="5" l="1"/>
  <c r="H18" i="5"/>
  <c r="E15" i="1" l="1"/>
  <c r="D15" i="1"/>
  <c r="J23" i="1" l="1"/>
  <c r="J22" i="1"/>
  <c r="E18" i="1"/>
  <c r="E41" i="1" s="1"/>
  <c r="D18" i="1"/>
  <c r="D41" i="1" s="1"/>
  <c r="D26" i="1"/>
  <c r="E26" i="1"/>
  <c r="D44" i="1" l="1"/>
  <c r="D47" i="1" s="1"/>
  <c r="D43" i="1"/>
  <c r="D20" i="1" s="1"/>
  <c r="E44" i="1"/>
  <c r="E47" i="1" s="1"/>
  <c r="E43" i="1"/>
  <c r="E20" i="1" s="1"/>
  <c r="E48" i="1" l="1"/>
  <c r="E51" i="1"/>
  <c r="D48" i="1"/>
  <c r="D51" i="1"/>
  <c r="D52" i="1" l="1"/>
  <c r="D53" i="1" s="1"/>
  <c r="D24" i="1" s="1"/>
  <c r="D23" i="1" s="1"/>
  <c r="D21" i="1"/>
  <c r="D22" i="1" s="1"/>
  <c r="D30" i="1" s="1"/>
  <c r="D31" i="1" s="1"/>
  <c r="D32" i="1" s="1"/>
  <c r="E52" i="1"/>
  <c r="E53" i="1" s="1"/>
  <c r="E24" i="1" s="1"/>
  <c r="E23" i="1" s="1"/>
  <c r="E21" i="1"/>
  <c r="E22" i="1" s="1"/>
  <c r="K22" i="1" l="1"/>
  <c r="K23" i="1"/>
  <c r="E30" i="1"/>
  <c r="E31" i="1" s="1"/>
  <c r="E32" i="1" s="1"/>
  <c r="D33" i="1"/>
  <c r="L35" i="1" l="1"/>
  <c r="N35" i="1"/>
  <c r="J35" i="1"/>
  <c r="K35" i="1"/>
  <c r="M35" i="1"/>
  <c r="N22" i="1"/>
  <c r="L36" i="1"/>
  <c r="N36" i="1"/>
  <c r="K36" i="1"/>
  <c r="M36" i="1"/>
  <c r="J36" i="1"/>
  <c r="N23" i="1"/>
  <c r="E33" i="1"/>
</calcChain>
</file>

<file path=xl/sharedStrings.xml><?xml version="1.0" encoding="utf-8"?>
<sst xmlns="http://schemas.openxmlformats.org/spreadsheetml/2006/main" count="177" uniqueCount="139">
  <si>
    <t>Merkmal</t>
  </si>
  <si>
    <t>Fleckvieh</t>
  </si>
  <si>
    <t>Kalkulierte tägliche Zunahmen</t>
  </si>
  <si>
    <t>Futterkosten pro kg Zuwachs</t>
  </si>
  <si>
    <t>Quelle: LWK Niedersachsen, + Einschätzung BD Bullenmast Ilshofen</t>
  </si>
  <si>
    <t xml:space="preserve">Direktkosten gesamt (Futter, Kalb, sonstiges) </t>
  </si>
  <si>
    <t>Direktkostenfreie Leistung pro Mastplatz</t>
  </si>
  <si>
    <t>Direktkostenfreie Leistung pro Masttag</t>
  </si>
  <si>
    <t>Quelle LWK Niedersachsen</t>
  </si>
  <si>
    <t>Sonstige Kosten gesamt</t>
  </si>
  <si>
    <t>übliche Vermarktungsgewichte der jeweiligen Rasse</t>
  </si>
  <si>
    <t>Quelle: LWK Niedersachsen, + Ergebnisse BD Bullenmast Ilshofen</t>
  </si>
  <si>
    <t>Gleichgewichtspreis</t>
  </si>
  <si>
    <t>Erläuterungen</t>
  </si>
  <si>
    <t>Nachkommen pro Kuh</t>
  </si>
  <si>
    <t>Bullenkalb Kreuzung</t>
  </si>
  <si>
    <t>Futterkosten gesamt</t>
  </si>
  <si>
    <t>Futterkosten - Hilfsrechnung</t>
  </si>
  <si>
    <t>Kosten Grundfut Maissilage/10 MJME</t>
  </si>
  <si>
    <t>Schlachtgewicht</t>
  </si>
  <si>
    <t>Direktkostenfreie Leistung/Mastbulle</t>
  </si>
  <si>
    <t>Kosten Aufzuchtmilch (MAT)</t>
  </si>
  <si>
    <t>Grundfuttermenge/Bulle in MJME</t>
  </si>
  <si>
    <t>Durchschnitt Mai 14 - April 2015, Differenz von 0,35 laut Auswertung LWK Niedersachsen</t>
  </si>
  <si>
    <t>Durchschnittliche übliche verkaufsgewichte BD Ilshofen/LWK Niedersachsen</t>
  </si>
  <si>
    <t>Energie über Kraftfutter (12,0 MJME/kg KF)</t>
  </si>
  <si>
    <t>beim Grundfutter ausschließlich mit Maissilage gerechnet</t>
  </si>
  <si>
    <t>Kosten/ha Silomais</t>
  </si>
  <si>
    <t>140 dt TS/ha a 11,0 MJME</t>
  </si>
  <si>
    <t>Gebäudekosten und sonstige Festkosten wurden nicht berücksichtigt</t>
  </si>
  <si>
    <t>Alle Preise/Kosten netto</t>
  </si>
  <si>
    <t>Einheit</t>
  </si>
  <si>
    <t>kg</t>
  </si>
  <si>
    <t>Einstallgewicht</t>
  </si>
  <si>
    <t>g</t>
  </si>
  <si>
    <t>€</t>
  </si>
  <si>
    <t>Ausschlachtung</t>
  </si>
  <si>
    <t>%</t>
  </si>
  <si>
    <t>Tage</t>
  </si>
  <si>
    <t>Mastdauer</t>
  </si>
  <si>
    <t>Kraftfutterkosten/Bulle</t>
  </si>
  <si>
    <t>Sonstige Kosten pro Tag</t>
  </si>
  <si>
    <t>Mastendgewicht (lebend)</t>
  </si>
  <si>
    <t>Futterkosten pro Tag</t>
  </si>
  <si>
    <t>MJME</t>
  </si>
  <si>
    <t>ha</t>
  </si>
  <si>
    <t>Futterkosten/Tag</t>
  </si>
  <si>
    <t>Kosten Grundfutter/Bulle</t>
  </si>
  <si>
    <t>entspricht Fläche Mais bei einem Ertrag von 154.000 MJME/ha</t>
  </si>
  <si>
    <t>Menge Kraftfutter/Mastbulle</t>
  </si>
  <si>
    <t>Preis/kg Kraftfutter</t>
  </si>
  <si>
    <t>Gesamtenergiebedarf/Bulle</t>
  </si>
  <si>
    <t>Schlachterlös/kg Schlachtgewicht</t>
  </si>
  <si>
    <t>Schlachterlös/Bulle</t>
  </si>
  <si>
    <t>Kraftfutterkosten gesamt</t>
  </si>
  <si>
    <t>Grundfutterkosten gesamt</t>
  </si>
  <si>
    <t>Kälberpreis €/kg</t>
  </si>
  <si>
    <t>Kälberpreis €/Kalb</t>
  </si>
  <si>
    <t>Für eigene Berechnungen können diese entsprechend eigener Erfahrungen geändert werden</t>
  </si>
  <si>
    <t>Blatt 2: Vergleichsrechnung Bullenmast</t>
  </si>
  <si>
    <t>Blatt 3: Erlös Kälber</t>
  </si>
  <si>
    <t>Alle Preise sind Nettopreise</t>
  </si>
  <si>
    <t>6 Liter Tränke bis zum Alter von 9 Wochen im Schnitt, 160 €/dt MAT, 130 g/Liter Tränke, SB 50 Tage, FV 35 Tage</t>
  </si>
  <si>
    <t>Durchschnittspreise Mai 2014 - April 2015; Preise Einkauf Bullenmäster, bei Holstein ausgesuchte Qualität (+30 €)</t>
  </si>
  <si>
    <t xml:space="preserve">LWK Niedersachsen/BD Ilshofen, </t>
  </si>
  <si>
    <t>Gesamtkraftfutterverbrauch gleich</t>
  </si>
  <si>
    <t>Der Vergleich wurde auf Basis "Direktkostenfreie Leistung" vorgenommen</t>
  </si>
  <si>
    <t>Die vorliegende Kalkulation basiert auf verschiedenen Annahmen und Berechnungen unterschiedlicher Quellen</t>
  </si>
  <si>
    <t>Kraftfutter/Tag</t>
  </si>
  <si>
    <t>Kraftfutter/Bulle</t>
  </si>
  <si>
    <t>Preis FV-Kalb (€/kg)</t>
  </si>
  <si>
    <t>Preis Holst.-Kalb bei gleicher DkfL/Bulle (€/Kalb)</t>
  </si>
  <si>
    <t>Preis Holst.- Kalb bei gleicher DkfL/Mastplatz (€/Kalb)</t>
  </si>
  <si>
    <t>Kuhkalb Kreuzung</t>
  </si>
  <si>
    <t>Bullenkalb Reinzucht</t>
  </si>
  <si>
    <t>Kuhkalb Reinzucht</t>
  </si>
  <si>
    <t>Erlös Kalb/Kuh/Jahr</t>
  </si>
  <si>
    <t>Mehrerlös pro Kuh beim Einsatz von  gesextem Sperma + Fleischbulle:</t>
  </si>
  <si>
    <t>Mehrerlös pro Kuh beim Einsatz von (geeigneten) Fleischbullen (anteilig):</t>
  </si>
  <si>
    <t xml:space="preserve">         Rassevergleich Bullenmast</t>
  </si>
  <si>
    <r>
      <t xml:space="preserve">Excelanwendung zur Berechnung der Wirtschaftlichkeit von Bullenmast Holstein und Fleckvieh im Vergleich
</t>
    </r>
    <r>
      <rPr>
        <b/>
        <sz val="11"/>
        <rFont val="Arial"/>
        <family val="2"/>
      </rPr>
      <t>copyright: LEL Schwäbisch Gmünd</t>
    </r>
  </si>
  <si>
    <t>Im Beispiel sind die Rassen Fleckvieh und Holstein miteinander verglichen.</t>
  </si>
  <si>
    <t>Alle Eingabefelder sind gelb</t>
  </si>
  <si>
    <t>Am Rande der Kalkulation sind die Bezugsquellen der wichtigsten Zahlen genannt</t>
  </si>
  <si>
    <t>wirtschaftliches Ergebnis erzielt wird</t>
  </si>
  <si>
    <t xml:space="preserve">Die Tabelle "Gleichgewichtspreis" auf Blatt 2 gibt die Vergleichspreise der beiden Rassen an, bei denen ein adäquates </t>
  </si>
  <si>
    <t>Die vorliegende Anwendung ermöglicht einen Vergleich von Bullenmastverfahren unterschiedlicher Rassen</t>
  </si>
  <si>
    <t>Mastverfahren</t>
  </si>
  <si>
    <t>FV-Bulle, 80 - 700 kg</t>
  </si>
  <si>
    <t>Holsteinbulle, 60 - 680 kg</t>
  </si>
  <si>
    <t>800 g</t>
  </si>
  <si>
    <t>1000 g</t>
  </si>
  <si>
    <t>1200 g</t>
  </si>
  <si>
    <t>1400 g</t>
  </si>
  <si>
    <t>Energiebedarf/Tag in Abhängigkeit der Zunahmen</t>
  </si>
  <si>
    <t>Energiebedarf/Tier/Tag</t>
  </si>
  <si>
    <t>Quelle: Vollkostenauswertung Rinderreport</t>
  </si>
  <si>
    <t>Kraftfutterpreis</t>
  </si>
  <si>
    <t>€/dt</t>
  </si>
  <si>
    <t>Holstein</t>
  </si>
  <si>
    <t>eigenes Verfahren</t>
  </si>
  <si>
    <t>Einkreuzung mit Weiß-Blaue Belgier (WBB) in Holsteinherden</t>
  </si>
  <si>
    <t>Summe Erlös Kalb in € pro Kuh/Jahr</t>
  </si>
  <si>
    <t xml:space="preserve">Es müssen die richtigen Bullen eingesetzt werden, sonst passt die Qualität der Kälber nicht </t>
  </si>
  <si>
    <t>Kalbeverlauf beachten, in der Regel kein Problem, es gibt nur ganz vereinzelt Aussagens dass mehr Schwergeburten auftreten</t>
  </si>
  <si>
    <t>Kalbeverlauf bei der Auswahl der Bullen beachten</t>
  </si>
  <si>
    <t>und es muss mit Preisabschlägen gerechnet werden</t>
  </si>
  <si>
    <t>Beim Einsatz von WBB- Besamungsbullen in Holsteinherdensind zwei Punkte zu beachten:</t>
  </si>
  <si>
    <t xml:space="preserve">100 % Reinzucht </t>
  </si>
  <si>
    <t>Im Blatt "Erlöse Kälber" ist noch eine Kalkulation zur Verbesserung der Kälbererlöse in Holsteinherden</t>
  </si>
  <si>
    <t>durch Einkreuzung und Einsatz von gesextem Sperma angefügt</t>
  </si>
  <si>
    <t>Werte = Ergebnisse aus der Tabelle "Rassevergleich Bullenmast"</t>
  </si>
  <si>
    <t>Wert siehe Tabelle "Energiebedarf/Tag…"</t>
  </si>
  <si>
    <r>
      <rPr>
        <vertAlign val="superscript"/>
        <sz val="12"/>
        <color theme="1"/>
        <rFont val="Arial"/>
        <family val="2"/>
      </rPr>
      <t>1)</t>
    </r>
    <r>
      <rPr>
        <sz val="12"/>
        <color theme="1"/>
        <rFont val="Arial"/>
        <family val="2"/>
      </rPr>
      <t xml:space="preserve"> Kälberpreise nach Ansätzen im Rindcash 2015/2016</t>
    </r>
  </si>
  <si>
    <r>
      <rPr>
        <vertAlign val="superscript"/>
        <sz val="12"/>
        <color theme="1"/>
        <rFont val="Arial"/>
        <family val="2"/>
      </rPr>
      <t xml:space="preserve">2) </t>
    </r>
    <r>
      <rPr>
        <sz val="12"/>
        <color indexed="8"/>
        <rFont val="Arial"/>
        <family val="2"/>
      </rPr>
      <t>Annahmen:</t>
    </r>
    <r>
      <rPr>
        <sz val="12"/>
        <color theme="1"/>
        <rFont val="Arial"/>
        <family val="2"/>
      </rPr>
      <t xml:space="preserve"> 390 Tage ZKZ, 5 % Kälberverluste - ergibt 0,9 Kälber/Kuh/Jahr</t>
    </r>
  </si>
  <si>
    <r>
      <rPr>
        <vertAlign val="superscript"/>
        <sz val="12"/>
        <color theme="1"/>
        <rFont val="Arial"/>
        <family val="2"/>
      </rPr>
      <t>3)</t>
    </r>
    <r>
      <rPr>
        <sz val="12"/>
        <color theme="1"/>
        <rFont val="Arial"/>
        <family val="2"/>
      </rPr>
      <t xml:space="preserve"> Die Werte der einzelnen Kälberkategorien wird entsprechend dem prozentualen Anteil Reinzucht ermittelt</t>
    </r>
  </si>
  <si>
    <r>
      <rPr>
        <vertAlign val="superscript"/>
        <sz val="12"/>
        <color theme="1"/>
        <rFont val="Arial"/>
        <family val="2"/>
      </rPr>
      <t>4)</t>
    </r>
    <r>
      <rPr>
        <sz val="12"/>
        <color theme="1"/>
        <rFont val="Arial"/>
        <family val="2"/>
      </rPr>
      <t xml:space="preserve"> Kuhkalb aus gesextem Sperma: Höherer Wert des Zuchtkalbs durch stärkere Selektion der Mütter</t>
    </r>
  </si>
  <si>
    <r>
      <rPr>
        <vertAlign val="superscript"/>
        <sz val="12"/>
        <color theme="1"/>
        <rFont val="Arial"/>
        <family val="2"/>
      </rPr>
      <t>5)</t>
    </r>
    <r>
      <rPr>
        <sz val="12"/>
        <color theme="1"/>
        <rFont val="Arial"/>
        <family val="2"/>
      </rPr>
      <t xml:space="preserve"> Nachteile beim Besamungs- bzw. Befruchtungserfolg beim Einsatz von gesextem Sperma in den Mehrkosten mit berücksichtigt</t>
    </r>
  </si>
  <si>
    <r>
      <t xml:space="preserve">Wert pro Kalb bei Geburt in € </t>
    </r>
    <r>
      <rPr>
        <b/>
        <vertAlign val="superscript"/>
        <sz val="12"/>
        <color theme="1"/>
        <rFont val="Arial"/>
        <family val="2"/>
      </rPr>
      <t>1)</t>
    </r>
  </si>
  <si>
    <r>
      <t xml:space="preserve">Anteil pro Kuh und Jahr </t>
    </r>
    <r>
      <rPr>
        <b/>
        <vertAlign val="superscript"/>
        <sz val="12"/>
        <color theme="1"/>
        <rFont val="Arial"/>
        <family val="2"/>
      </rPr>
      <t>2)</t>
    </r>
  </si>
  <si>
    <r>
      <t xml:space="preserve">Reinzucht und Einkreuzung Fleischbulle nach Bedarf </t>
    </r>
    <r>
      <rPr>
        <b/>
        <vertAlign val="superscript"/>
        <sz val="12"/>
        <color theme="1"/>
        <rFont val="Arial"/>
        <family val="2"/>
      </rPr>
      <t>3)</t>
    </r>
  </si>
  <si>
    <r>
      <t xml:space="preserve">Kuhkalb Reinzucht - gesextes Sperma </t>
    </r>
    <r>
      <rPr>
        <vertAlign val="superscript"/>
        <sz val="12"/>
        <color theme="1"/>
        <rFont val="Arial"/>
        <family val="2"/>
      </rPr>
      <t>4)</t>
    </r>
  </si>
  <si>
    <r>
      <t xml:space="preserve">Mehrkosten gesextes Sperma (anteilig) </t>
    </r>
    <r>
      <rPr>
        <vertAlign val="superscript"/>
        <sz val="12"/>
        <color theme="1"/>
        <rFont val="Arial"/>
        <family val="2"/>
      </rPr>
      <t>5)</t>
    </r>
  </si>
  <si>
    <t>50 % der Kühe gesextes weibliches Holsteinsperma - 50 % der Kühe Fleischbulle</t>
  </si>
  <si>
    <t>insbesondere der Vergleich Reinzucht - Kreuzungszucht</t>
  </si>
  <si>
    <t>und die ökonomischen Auswirkungen verschiedener Besamungsstrategien im Holsteinbetrieb</t>
  </si>
  <si>
    <t>Diff SoKO</t>
  </si>
  <si>
    <t>Gew.</t>
  </si>
  <si>
    <t>Preis</t>
  </si>
  <si>
    <t>max. Preis SB</t>
  </si>
  <si>
    <t>Umtriebe</t>
  </si>
  <si>
    <t>Nebenrechnung für Gleichgewichtspreis</t>
  </si>
  <si>
    <t>Fresserzukauf (200 - 700 kg)</t>
  </si>
  <si>
    <t>Vergleich verschiedener Besamungsstrategien im Milchviehbetrieb (Holstein)</t>
  </si>
  <si>
    <t>LEL Schwäbisch Gmünd Stand: November 2016</t>
  </si>
  <si>
    <t>Diff. Erlös</t>
  </si>
  <si>
    <t>nach DkfL je Bulle</t>
  </si>
  <si>
    <t>nach DkfL je Platz</t>
  </si>
  <si>
    <t>Wirtschaftlichkeit Bullenmast im Rassevergleich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</si>
</sst>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&quot; €/Kuh/Jahr&quot;"/>
    <numFmt numFmtId="165" formatCode="#&quot;% Reinzucht&quot;"/>
    <numFmt numFmtId="166" formatCode="_-* #,##0.00\ [$€]_-;\-* #,##0.00\ [$€]_-;_-* &quot;-&quot;??\ [$€]_-;_-@_-"/>
    <numFmt numFmtId="167" formatCode="General;General;"/>
    <numFmt numFmtId="168" formatCode="0.0"/>
    <numFmt numFmtId="169" formatCode="0.000"/>
  </numFmts>
  <fonts count="2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30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indexed="8"/>
      <name val="Arial"/>
      <family val="2"/>
    </font>
    <font>
      <b/>
      <vertAlign val="superscript"/>
      <sz val="12"/>
      <color theme="1"/>
      <name val="Arial"/>
      <family val="2"/>
    </font>
    <font>
      <b/>
      <u/>
      <sz val="14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lightDown">
        <bgColor theme="0"/>
      </patternFill>
    </fill>
    <fill>
      <patternFill patternType="solid">
        <fgColor rgb="FFF3BAA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1" fillId="0" borderId="0"/>
    <xf numFmtId="166" fontId="11" fillId="0" borderId="0" applyFont="0" applyFill="0" applyBorder="0" applyAlignment="0" applyProtection="0"/>
    <xf numFmtId="0" fontId="12" fillId="10" borderId="0">
      <alignment horizontal="right" vertical="center"/>
    </xf>
    <xf numFmtId="0" fontId="11" fillId="8" borderId="0">
      <alignment vertical="center"/>
    </xf>
    <xf numFmtId="2" fontId="11" fillId="0" borderId="1">
      <alignment vertical="center" shrinkToFit="1"/>
      <protection locked="0"/>
    </xf>
  </cellStyleXfs>
  <cellXfs count="12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Border="1"/>
    <xf numFmtId="0" fontId="10" fillId="0" borderId="1" xfId="0" applyFont="1" applyBorder="1"/>
    <xf numFmtId="0" fontId="0" fillId="3" borderId="0" xfId="0" applyFill="1"/>
    <xf numFmtId="0" fontId="1" fillId="3" borderId="0" xfId="0" applyFont="1" applyFill="1"/>
    <xf numFmtId="164" fontId="1" fillId="3" borderId="0" xfId="0" applyNumberFormat="1" applyFont="1" applyFill="1" applyAlignment="1">
      <alignment horizontal="center"/>
    </xf>
    <xf numFmtId="0" fontId="0" fillId="4" borderId="0" xfId="0" applyFill="1"/>
    <xf numFmtId="0" fontId="9" fillId="0" borderId="1" xfId="0" applyFont="1" applyBorder="1"/>
    <xf numFmtId="0" fontId="9" fillId="5" borderId="1" xfId="0" applyFont="1" applyFill="1" applyBorder="1" applyProtection="1">
      <protection locked="0"/>
    </xf>
    <xf numFmtId="1" fontId="9" fillId="0" borderId="1" xfId="0" applyNumberFormat="1" applyFont="1" applyBorder="1"/>
    <xf numFmtId="2" fontId="9" fillId="5" borderId="1" xfId="0" applyNumberFormat="1" applyFont="1" applyFill="1" applyBorder="1" applyProtection="1">
      <protection locked="0"/>
    </xf>
    <xf numFmtId="0" fontId="9" fillId="7" borderId="1" xfId="0" applyFont="1" applyFill="1" applyBorder="1"/>
    <xf numFmtId="0" fontId="0" fillId="0" borderId="11" xfId="0" applyBorder="1"/>
    <xf numFmtId="0" fontId="0" fillId="0" borderId="12" xfId="0" applyBorder="1"/>
    <xf numFmtId="0" fontId="9" fillId="3" borderId="0" xfId="0" applyFont="1" applyFill="1"/>
    <xf numFmtId="0" fontId="9" fillId="4" borderId="1" xfId="0" applyFont="1" applyFill="1" applyBorder="1"/>
    <xf numFmtId="0" fontId="9" fillId="0" borderId="0" xfId="0" applyFont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167" fontId="9" fillId="5" borderId="1" xfId="0" applyNumberFormat="1" applyFont="1" applyFill="1" applyBorder="1" applyProtection="1">
      <protection locked="0"/>
    </xf>
    <xf numFmtId="3" fontId="9" fillId="4" borderId="1" xfId="0" applyNumberFormat="1" applyFont="1" applyFill="1" applyBorder="1"/>
    <xf numFmtId="3" fontId="9" fillId="5" borderId="1" xfId="0" applyNumberFormat="1" applyFont="1" applyFill="1" applyBorder="1" applyProtection="1">
      <protection locked="0"/>
    </xf>
    <xf numFmtId="168" fontId="9" fillId="5" borderId="1" xfId="0" applyNumberFormat="1" applyFont="1" applyFill="1" applyBorder="1" applyProtection="1">
      <protection locked="0"/>
    </xf>
    <xf numFmtId="2" fontId="9" fillId="4" borderId="1" xfId="0" applyNumberFormat="1" applyFont="1" applyFill="1" applyBorder="1"/>
    <xf numFmtId="1" fontId="9" fillId="4" borderId="1" xfId="0" applyNumberFormat="1" applyFont="1" applyFill="1" applyBorder="1"/>
    <xf numFmtId="167" fontId="9" fillId="0" borderId="0" xfId="0" applyNumberFormat="1" applyFont="1"/>
    <xf numFmtId="2" fontId="9" fillId="6" borderId="1" xfId="0" applyNumberFormat="1" applyFont="1" applyFill="1" applyBorder="1" applyProtection="1">
      <protection locked="0"/>
    </xf>
    <xf numFmtId="1" fontId="9" fillId="7" borderId="1" xfId="0" applyNumberFormat="1" applyFont="1" applyFill="1" applyBorder="1" applyProtection="1"/>
    <xf numFmtId="0" fontId="2" fillId="7" borderId="1" xfId="0" applyFont="1" applyFill="1" applyBorder="1"/>
    <xf numFmtId="1" fontId="2" fillId="7" borderId="1" xfId="0" applyNumberFormat="1" applyFont="1" applyFill="1" applyBorder="1" applyProtection="1"/>
    <xf numFmtId="2" fontId="9" fillId="7" borderId="1" xfId="0" applyNumberFormat="1" applyFont="1" applyFill="1" applyBorder="1" applyProtection="1"/>
    <xf numFmtId="2" fontId="9" fillId="0" borderId="0" xfId="0" applyNumberFormat="1" applyFont="1" applyFill="1"/>
    <xf numFmtId="167" fontId="9" fillId="3" borderId="0" xfId="0" applyNumberFormat="1" applyFont="1" applyFill="1"/>
    <xf numFmtId="2" fontId="2" fillId="5" borderId="1" xfId="0" applyNumberFormat="1" applyFont="1" applyFill="1" applyBorder="1" applyProtection="1">
      <protection locked="0"/>
    </xf>
    <xf numFmtId="1" fontId="9" fillId="0" borderId="0" xfId="0" applyNumberFormat="1" applyFont="1" applyFill="1"/>
    <xf numFmtId="0" fontId="2" fillId="2" borderId="0" xfId="0" applyFont="1" applyFill="1"/>
    <xf numFmtId="0" fontId="9" fillId="2" borderId="0" xfId="0" applyFont="1" applyFill="1"/>
    <xf numFmtId="167" fontId="9" fillId="2" borderId="0" xfId="0" applyNumberFormat="1" applyFont="1" applyFill="1"/>
    <xf numFmtId="0" fontId="2" fillId="4" borderId="1" xfId="0" applyFont="1" applyFill="1" applyBorder="1" applyAlignment="1">
      <alignment vertical="center"/>
    </xf>
    <xf numFmtId="167" fontId="2" fillId="4" borderId="1" xfId="0" applyNumberFormat="1" applyFont="1" applyFill="1" applyBorder="1" applyAlignment="1">
      <alignment horizontal="center" vertical="center" wrapText="1"/>
    </xf>
    <xf numFmtId="167" fontId="2" fillId="4" borderId="1" xfId="0" applyNumberFormat="1" applyFont="1" applyFill="1" applyBorder="1"/>
    <xf numFmtId="2" fontId="9" fillId="0" borderId="1" xfId="0" applyNumberFormat="1" applyFont="1" applyBorder="1"/>
    <xf numFmtId="167" fontId="9" fillId="0" borderId="1" xfId="0" applyNumberFormat="1" applyFont="1" applyBorder="1"/>
    <xf numFmtId="0" fontId="9" fillId="0" borderId="1" xfId="0" applyNumberFormat="1" applyFont="1" applyBorder="1" applyAlignment="1">
      <alignment wrapText="1"/>
    </xf>
    <xf numFmtId="0" fontId="13" fillId="3" borderId="0" xfId="0" applyFont="1" applyFill="1"/>
    <xf numFmtId="0" fontId="13" fillId="0" borderId="0" xfId="0" applyFont="1"/>
    <xf numFmtId="0" fontId="0" fillId="0" borderId="0" xfId="0" applyFont="1"/>
    <xf numFmtId="0" fontId="15" fillId="0" borderId="0" xfId="0" applyFont="1"/>
    <xf numFmtId="0" fontId="15" fillId="0" borderId="0" xfId="0" applyFont="1" applyFill="1" applyBorder="1"/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/>
    <xf numFmtId="0" fontId="4" fillId="0" borderId="2" xfId="0" applyFont="1" applyBorder="1" applyAlignment="1">
      <alignment wrapText="1"/>
    </xf>
    <xf numFmtId="165" fontId="4" fillId="5" borderId="1" xfId="0" applyNumberFormat="1" applyFont="1" applyFill="1" applyBorder="1" applyAlignment="1" applyProtection="1">
      <alignment horizontal="center" wrapText="1"/>
      <protection locked="0"/>
    </xf>
    <xf numFmtId="0" fontId="15" fillId="0" borderId="1" xfId="0" applyFont="1" applyBorder="1"/>
    <xf numFmtId="0" fontId="15" fillId="5" borderId="1" xfId="0" applyFont="1" applyFill="1" applyBorder="1" applyAlignment="1" applyProtection="1">
      <alignment horizontal="center"/>
      <protection locked="0"/>
    </xf>
    <xf numFmtId="0" fontId="15" fillId="9" borderId="1" xfId="0" applyFont="1" applyFill="1" applyBorder="1" applyAlignment="1" applyProtection="1">
      <alignment horizontal="center"/>
      <protection locked="0"/>
    </xf>
    <xf numFmtId="1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right"/>
    </xf>
    <xf numFmtId="1" fontId="15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0" fontId="15" fillId="0" borderId="11" xfId="0" applyFont="1" applyBorder="1"/>
    <xf numFmtId="0" fontId="15" fillId="0" borderId="0" xfId="0" applyFont="1" applyBorder="1"/>
    <xf numFmtId="0" fontId="15" fillId="0" borderId="12" xfId="0" applyFont="1" applyBorder="1"/>
    <xf numFmtId="0" fontId="4" fillId="0" borderId="11" xfId="0" applyFont="1" applyBorder="1"/>
    <xf numFmtId="164" fontId="4" fillId="7" borderId="12" xfId="0" applyNumberFormat="1" applyFont="1" applyFill="1" applyBorder="1" applyAlignment="1">
      <alignment horizontal="center"/>
    </xf>
    <xf numFmtId="0" fontId="4" fillId="0" borderId="9" xfId="0" applyFont="1" applyBorder="1"/>
    <xf numFmtId="0" fontId="15" fillId="0" borderId="5" xfId="0" applyFont="1" applyBorder="1"/>
    <xf numFmtId="164" fontId="4" fillId="7" borderId="10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1" fontId="9" fillId="0" borderId="0" xfId="0" applyNumberFormat="1" applyFont="1"/>
    <xf numFmtId="0" fontId="9" fillId="0" borderId="0" xfId="0" applyFont="1" applyAlignment="1">
      <alignment horizontal="right"/>
    </xf>
    <xf numFmtId="0" fontId="9" fillId="0" borderId="1" xfId="0" applyFont="1" applyFill="1" applyBorder="1" applyProtection="1">
      <protection locked="0"/>
    </xf>
    <xf numFmtId="167" fontId="9" fillId="0" borderId="1" xfId="0" applyNumberFormat="1" applyFont="1" applyFill="1" applyBorder="1" applyProtection="1">
      <protection locked="0"/>
    </xf>
    <xf numFmtId="1" fontId="9" fillId="0" borderId="1" xfId="0" applyNumberFormat="1" applyFont="1" applyFill="1" applyBorder="1" applyProtection="1"/>
    <xf numFmtId="0" fontId="9" fillId="11" borderId="1" xfId="0" applyFont="1" applyFill="1" applyBorder="1" applyAlignment="1">
      <alignment horizontal="center"/>
    </xf>
    <xf numFmtId="0" fontId="13" fillId="3" borderId="11" xfId="0" applyFont="1" applyFill="1" applyBorder="1"/>
    <xf numFmtId="1" fontId="9" fillId="12" borderId="0" xfId="0" applyNumberFormat="1" applyFont="1" applyFill="1"/>
    <xf numFmtId="0" fontId="19" fillId="12" borderId="0" xfId="0" applyFont="1" applyFill="1"/>
    <xf numFmtId="0" fontId="9" fillId="12" borderId="0" xfId="0" applyFont="1" applyFill="1"/>
    <xf numFmtId="0" fontId="9" fillId="12" borderId="0" xfId="0" applyFont="1" applyFill="1" applyAlignment="1">
      <alignment horizontal="right"/>
    </xf>
    <xf numFmtId="3" fontId="9" fillId="12" borderId="0" xfId="0" applyNumberFormat="1" applyFont="1" applyFill="1" applyAlignment="1">
      <alignment horizontal="right"/>
    </xf>
    <xf numFmtId="2" fontId="2" fillId="12" borderId="0" xfId="0" applyNumberFormat="1" applyFont="1" applyFill="1" applyAlignment="1">
      <alignment horizontal="right"/>
    </xf>
    <xf numFmtId="1" fontId="2" fillId="12" borderId="0" xfId="0" applyNumberFormat="1" applyFont="1" applyFill="1" applyAlignment="1">
      <alignment horizontal="right"/>
    </xf>
    <xf numFmtId="1" fontId="9" fillId="12" borderId="0" xfId="0" applyNumberFormat="1" applyFont="1" applyFill="1" applyAlignment="1">
      <alignment horizontal="right"/>
    </xf>
    <xf numFmtId="0" fontId="2" fillId="12" borderId="0" xfId="0" applyFont="1" applyFill="1"/>
    <xf numFmtId="169" fontId="9" fillId="12" borderId="0" xfId="0" applyNumberFormat="1" applyFont="1" applyFill="1"/>
    <xf numFmtId="0" fontId="9" fillId="14" borderId="0" xfId="0" applyFont="1" applyFill="1"/>
    <xf numFmtId="167" fontId="9" fillId="14" borderId="0" xfId="0" applyNumberFormat="1" applyFont="1" applyFill="1"/>
    <xf numFmtId="0" fontId="9" fillId="13" borderId="1" xfId="0" applyFont="1" applyFill="1" applyBorder="1"/>
    <xf numFmtId="0" fontId="5" fillId="8" borderId="6" xfId="0" applyFont="1" applyFill="1" applyBorder="1" applyAlignment="1">
      <alignment horizontal="center" wrapText="1"/>
    </xf>
    <xf numFmtId="0" fontId="5" fillId="8" borderId="7" xfId="0" applyFont="1" applyFill="1" applyBorder="1" applyAlignment="1">
      <alignment horizont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wrapText="1"/>
    </xf>
    <xf numFmtId="0" fontId="7" fillId="8" borderId="0" xfId="0" applyFont="1" applyFill="1" applyBorder="1" applyAlignment="1">
      <alignment horizontal="center" wrapText="1"/>
    </xf>
    <xf numFmtId="0" fontId="7" fillId="8" borderId="12" xfId="0" applyFont="1" applyFill="1" applyBorder="1" applyAlignment="1">
      <alignment horizontal="center" wrapText="1"/>
    </xf>
    <xf numFmtId="0" fontId="7" fillId="8" borderId="9" xfId="0" applyFont="1" applyFill="1" applyBorder="1" applyAlignment="1">
      <alignment horizontal="center" wrapText="1"/>
    </xf>
    <xf numFmtId="0" fontId="7" fillId="8" borderId="5" xfId="0" applyFont="1" applyFill="1" applyBorder="1" applyAlignment="1">
      <alignment horizontal="center" wrapText="1"/>
    </xf>
    <xf numFmtId="0" fontId="7" fillId="8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</cellXfs>
  <cellStyles count="6">
    <cellStyle name="Euro" xfId="2"/>
    <cellStyle name="gelbesEingabefeld" xfId="3"/>
    <cellStyle name="grün,10,mitte,gesperrt" xfId="4"/>
    <cellStyle name="Matrix" xfId="5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FF00"/>
      <color rgb="FFFFFF66"/>
      <color rgb="FFF3BAAF"/>
      <color rgb="FFEE9E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28575</xdr:rowOff>
    </xdr:from>
    <xdr:to>
      <xdr:col>1</xdr:col>
      <xdr:colOff>581025</xdr:colOff>
      <xdr:row>1</xdr:row>
      <xdr:rowOff>409575</xdr:rowOff>
    </xdr:to>
    <xdr:pic>
      <xdr:nvPicPr>
        <xdr:cNvPr id="3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9550"/>
          <a:ext cx="5524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8"/>
  <sheetViews>
    <sheetView tabSelected="1" workbookViewId="0"/>
  </sheetViews>
  <sheetFormatPr baseColWidth="10" defaultRowHeight="13.6" x14ac:dyDescent="0.2"/>
  <cols>
    <col min="1" max="1" width="1.88671875" customWidth="1"/>
    <col min="2" max="2" width="18.44140625" customWidth="1"/>
  </cols>
  <sheetData>
    <row r="2" spans="2:11" ht="58.75" customHeight="1" x14ac:dyDescent="0.5">
      <c r="B2" s="100" t="s">
        <v>79</v>
      </c>
      <c r="C2" s="101"/>
      <c r="D2" s="101"/>
      <c r="E2" s="101"/>
      <c r="F2" s="101"/>
      <c r="G2" s="101"/>
      <c r="H2" s="101"/>
      <c r="I2" s="102"/>
      <c r="J2" s="102"/>
      <c r="K2" s="103"/>
    </row>
    <row r="3" spans="2:11" ht="18.7" customHeight="1" x14ac:dyDescent="0.3">
      <c r="B3" s="104" t="s">
        <v>80</v>
      </c>
      <c r="C3" s="105"/>
      <c r="D3" s="105"/>
      <c r="E3" s="105"/>
      <c r="F3" s="105"/>
      <c r="G3" s="105"/>
      <c r="H3" s="105"/>
      <c r="I3" s="105"/>
      <c r="J3" s="105"/>
      <c r="K3" s="106"/>
    </row>
    <row r="4" spans="2:11" ht="18.7" customHeight="1" x14ac:dyDescent="0.3">
      <c r="B4" s="107" t="s">
        <v>125</v>
      </c>
      <c r="C4" s="108"/>
      <c r="D4" s="108"/>
      <c r="E4" s="108"/>
      <c r="F4" s="108"/>
      <c r="G4" s="108"/>
      <c r="H4" s="108"/>
      <c r="I4" s="108"/>
      <c r="J4" s="108"/>
      <c r="K4" s="109"/>
    </row>
    <row r="6" spans="2:11" ht="15.65" x14ac:dyDescent="0.25">
      <c r="B6" s="4" t="s">
        <v>13</v>
      </c>
      <c r="C6" t="s">
        <v>86</v>
      </c>
    </row>
    <row r="7" spans="2:11" ht="14.3" x14ac:dyDescent="0.2">
      <c r="C7" t="s">
        <v>81</v>
      </c>
    </row>
    <row r="8" spans="2:11" ht="14.3" x14ac:dyDescent="0.2">
      <c r="C8" t="s">
        <v>83</v>
      </c>
    </row>
    <row r="9" spans="2:11" x14ac:dyDescent="0.2">
      <c r="C9" t="s">
        <v>109</v>
      </c>
    </row>
    <row r="10" spans="2:11" x14ac:dyDescent="0.2">
      <c r="C10" t="s">
        <v>110</v>
      </c>
    </row>
    <row r="11" spans="2:11" x14ac:dyDescent="0.2">
      <c r="C11" t="s">
        <v>85</v>
      </c>
    </row>
    <row r="12" spans="2:11" ht="14.3" x14ac:dyDescent="0.2">
      <c r="C12" t="s">
        <v>84</v>
      </c>
    </row>
    <row r="16" spans="2:11" ht="14.95" x14ac:dyDescent="0.25">
      <c r="C16" s="1" t="s">
        <v>82</v>
      </c>
    </row>
    <row r="18" spans="2:3" ht="14.95" x14ac:dyDescent="0.25">
      <c r="C18" s="1" t="s">
        <v>61</v>
      </c>
    </row>
    <row r="19" spans="2:3" ht="15.8" x14ac:dyDescent="0.25">
      <c r="C19" s="4"/>
    </row>
    <row r="23" spans="2:3" ht="40.75" x14ac:dyDescent="0.2">
      <c r="B23" s="3" t="s">
        <v>59</v>
      </c>
      <c r="C23" t="s">
        <v>29</v>
      </c>
    </row>
    <row r="24" spans="2:3" ht="14.3" x14ac:dyDescent="0.2">
      <c r="C24" t="s">
        <v>66</v>
      </c>
    </row>
    <row r="25" spans="2:3" ht="14.3" x14ac:dyDescent="0.2">
      <c r="C25" t="s">
        <v>67</v>
      </c>
    </row>
    <row r="26" spans="2:3" x14ac:dyDescent="0.2">
      <c r="C26" t="s">
        <v>58</v>
      </c>
    </row>
    <row r="29" spans="2:3" x14ac:dyDescent="0.2">
      <c r="B29" t="s">
        <v>60</v>
      </c>
      <c r="C29" t="s">
        <v>133</v>
      </c>
    </row>
    <row r="30" spans="2:3" ht="13.75" x14ac:dyDescent="0.2">
      <c r="C30" t="s">
        <v>124</v>
      </c>
    </row>
    <row r="38" spans="2:2" x14ac:dyDescent="0.2">
      <c r="B38" t="s">
        <v>134</v>
      </c>
    </row>
  </sheetData>
  <mergeCells count="4">
    <mergeCell ref="B2:H2"/>
    <mergeCell ref="I2:K2"/>
    <mergeCell ref="B3:K3"/>
    <mergeCell ref="B4:K4"/>
  </mergeCells>
  <pageMargins left="0.7" right="0.7" top="0.78740157499999996" bottom="0.78740157499999996" header="0.3" footer="0.3"/>
  <pageSetup paperSize="9" scale="8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111"/>
  <sheetViews>
    <sheetView zoomScale="70" zoomScaleNormal="70" workbookViewId="0"/>
  </sheetViews>
  <sheetFormatPr baseColWidth="10" defaultRowHeight="13.6" x14ac:dyDescent="0.2"/>
  <cols>
    <col min="1" max="1" width="3.33203125" customWidth="1"/>
    <col min="2" max="2" width="50.6640625" customWidth="1"/>
    <col min="3" max="3" width="10.6640625" customWidth="1"/>
    <col min="4" max="6" width="13.6640625" customWidth="1"/>
    <col min="7" max="7" width="3.6640625" customWidth="1"/>
    <col min="8" max="8" width="2.44140625" customWidth="1"/>
    <col min="9" max="9" width="40.109375" customWidth="1"/>
    <col min="10" max="14" width="13.6640625" customWidth="1"/>
  </cols>
  <sheetData>
    <row r="1" spans="1:9" ht="14.3" x14ac:dyDescent="0.2">
      <c r="A1" s="7"/>
      <c r="B1" s="7"/>
      <c r="C1" s="7"/>
      <c r="D1" s="7"/>
      <c r="E1" s="7"/>
      <c r="F1" s="7"/>
      <c r="G1" s="7"/>
    </row>
    <row r="2" spans="1:9" s="52" customFormat="1" ht="39.75" customHeight="1" x14ac:dyDescent="0.35">
      <c r="A2" s="51"/>
      <c r="B2" s="113" t="s">
        <v>138</v>
      </c>
      <c r="C2" s="114"/>
      <c r="D2" s="114"/>
      <c r="E2" s="114"/>
      <c r="F2" s="115"/>
      <c r="G2" s="86"/>
    </row>
    <row r="3" spans="1:9" ht="8.35" customHeight="1" x14ac:dyDescent="0.3">
      <c r="A3" s="7"/>
      <c r="B3" s="6"/>
      <c r="C3" s="6"/>
      <c r="D3" s="6"/>
      <c r="E3" s="6"/>
      <c r="F3" s="6"/>
      <c r="G3" s="7"/>
    </row>
    <row r="4" spans="1:9" s="20" customFormat="1" ht="28.2" customHeight="1" x14ac:dyDescent="0.25">
      <c r="A4" s="18"/>
      <c r="B4" s="19" t="s">
        <v>30</v>
      </c>
      <c r="C4" s="19"/>
      <c r="D4" s="19"/>
      <c r="E4" s="19"/>
      <c r="F4" s="19"/>
      <c r="G4" s="18"/>
    </row>
    <row r="5" spans="1:9" s="20" customFormat="1" ht="2.25" customHeight="1" x14ac:dyDescent="0.25">
      <c r="A5" s="18"/>
      <c r="B5" s="19"/>
      <c r="C5" s="19"/>
      <c r="D5" s="19"/>
      <c r="E5" s="19"/>
      <c r="G5" s="18"/>
    </row>
    <row r="6" spans="1:9" s="20" customFormat="1" ht="49.75" customHeight="1" x14ac:dyDescent="0.25">
      <c r="A6" s="18"/>
      <c r="B6" s="21" t="s">
        <v>0</v>
      </c>
      <c r="C6" s="22" t="s">
        <v>31</v>
      </c>
      <c r="D6" s="23" t="s">
        <v>99</v>
      </c>
      <c r="E6" s="23" t="s">
        <v>1</v>
      </c>
      <c r="F6" s="24" t="s">
        <v>100</v>
      </c>
      <c r="G6" s="18"/>
    </row>
    <row r="7" spans="1:9" s="20" customFormat="1" ht="6.8" customHeight="1" x14ac:dyDescent="0.25">
      <c r="A7" s="18"/>
      <c r="B7" s="19"/>
      <c r="C7" s="25"/>
      <c r="D7" s="19"/>
      <c r="E7" s="19"/>
      <c r="F7" s="19"/>
      <c r="G7" s="18"/>
    </row>
    <row r="8" spans="1:9" s="20" customFormat="1" ht="28.2" customHeight="1" x14ac:dyDescent="0.3">
      <c r="A8" s="18"/>
      <c r="B8" s="19" t="s">
        <v>33</v>
      </c>
      <c r="C8" s="25" t="s">
        <v>32</v>
      </c>
      <c r="D8" s="12">
        <v>60</v>
      </c>
      <c r="E8" s="12">
        <v>80</v>
      </c>
      <c r="F8" s="26"/>
      <c r="G8" s="18"/>
      <c r="I8" s="20" t="s">
        <v>10</v>
      </c>
    </row>
    <row r="9" spans="1:9" s="20" customFormat="1" ht="28.2" customHeight="1" x14ac:dyDescent="0.3">
      <c r="A9" s="18"/>
      <c r="B9" s="19" t="s">
        <v>42</v>
      </c>
      <c r="C9" s="25" t="s">
        <v>32</v>
      </c>
      <c r="D9" s="12">
        <v>680</v>
      </c>
      <c r="E9" s="12">
        <v>700</v>
      </c>
      <c r="F9" s="26"/>
      <c r="G9" s="18"/>
      <c r="I9" s="20" t="s">
        <v>24</v>
      </c>
    </row>
    <row r="10" spans="1:9" s="20" customFormat="1" ht="28.2" customHeight="1" x14ac:dyDescent="0.25">
      <c r="A10" s="18"/>
      <c r="B10" s="19" t="s">
        <v>39</v>
      </c>
      <c r="C10" s="25" t="s">
        <v>38</v>
      </c>
      <c r="D10" s="27">
        <f>(D9-D8)/D11*1000</f>
        <v>590.47619047619048</v>
      </c>
      <c r="E10" s="27">
        <f>(E9-E8)/E11*1000</f>
        <v>516.66666666666674</v>
      </c>
      <c r="F10" s="27" t="str">
        <f>IF(ISERROR((F9-F8)/F11*1000),"",(F9-F8)/F11*1000)</f>
        <v/>
      </c>
      <c r="G10" s="18"/>
    </row>
    <row r="11" spans="1:9" s="20" customFormat="1" ht="28.2" customHeight="1" x14ac:dyDescent="0.3">
      <c r="A11" s="18"/>
      <c r="B11" s="19" t="s">
        <v>2</v>
      </c>
      <c r="C11" s="25" t="s">
        <v>34</v>
      </c>
      <c r="D11" s="28">
        <v>1050</v>
      </c>
      <c r="E11" s="28">
        <v>1200</v>
      </c>
      <c r="F11" s="28"/>
      <c r="G11" s="18"/>
      <c r="I11" s="20" t="s">
        <v>4</v>
      </c>
    </row>
    <row r="12" spans="1:9" s="20" customFormat="1" ht="28.2" customHeight="1" x14ac:dyDescent="0.3">
      <c r="A12" s="18"/>
      <c r="B12" s="19" t="s">
        <v>36</v>
      </c>
      <c r="C12" s="25" t="s">
        <v>37</v>
      </c>
      <c r="D12" s="12">
        <v>54</v>
      </c>
      <c r="E12" s="12">
        <v>57</v>
      </c>
      <c r="F12" s="26"/>
      <c r="G12" s="18"/>
      <c r="I12" s="20" t="s">
        <v>4</v>
      </c>
    </row>
    <row r="13" spans="1:9" s="20" customFormat="1" ht="28.2" customHeight="1" x14ac:dyDescent="0.25">
      <c r="A13" s="18"/>
      <c r="B13" s="19" t="s">
        <v>19</v>
      </c>
      <c r="C13" s="25" t="s">
        <v>32</v>
      </c>
      <c r="D13" s="27">
        <f>D9*D12/100</f>
        <v>367.2</v>
      </c>
      <c r="E13" s="27">
        <f>E9*E12/100</f>
        <v>399</v>
      </c>
      <c r="F13" s="27">
        <f>F9*F12/100</f>
        <v>0</v>
      </c>
      <c r="G13" s="18"/>
      <c r="I13" s="20" t="s">
        <v>11</v>
      </c>
    </row>
    <row r="14" spans="1:9" s="20" customFormat="1" ht="28.2" customHeight="1" x14ac:dyDescent="0.3">
      <c r="A14" s="18"/>
      <c r="B14" s="19" t="s">
        <v>52</v>
      </c>
      <c r="C14" s="25" t="s">
        <v>35</v>
      </c>
      <c r="D14" s="14">
        <v>3.45</v>
      </c>
      <c r="E14" s="14">
        <v>3.8</v>
      </c>
      <c r="F14" s="26"/>
      <c r="G14" s="18"/>
      <c r="I14" s="20" t="s">
        <v>23</v>
      </c>
    </row>
    <row r="15" spans="1:9" s="20" customFormat="1" ht="28.2" customHeight="1" x14ac:dyDescent="0.3">
      <c r="A15" s="18"/>
      <c r="B15" s="19" t="s">
        <v>53</v>
      </c>
      <c r="C15" s="25" t="s">
        <v>35</v>
      </c>
      <c r="D15" s="27">
        <f>D13*D14</f>
        <v>1266.8399999999999</v>
      </c>
      <c r="E15" s="27">
        <f>E13*E14</f>
        <v>1516.1999999999998</v>
      </c>
      <c r="F15" s="27">
        <f>F13*F14</f>
        <v>0</v>
      </c>
      <c r="G15" s="18"/>
    </row>
    <row r="16" spans="1:9" s="20" customFormat="1" ht="28.2" customHeight="1" x14ac:dyDescent="0.3">
      <c r="A16" s="18"/>
      <c r="B16" s="19" t="s">
        <v>21</v>
      </c>
      <c r="C16" s="25" t="s">
        <v>35</v>
      </c>
      <c r="D16" s="12">
        <v>62</v>
      </c>
      <c r="E16" s="12">
        <v>44</v>
      </c>
      <c r="F16" s="26">
        <v>0</v>
      </c>
      <c r="G16" s="18"/>
      <c r="I16" s="20" t="s">
        <v>62</v>
      </c>
    </row>
    <row r="17" spans="1:17" s="20" customFormat="1" ht="28.2" customHeight="1" x14ac:dyDescent="0.25">
      <c r="A17" s="18"/>
      <c r="B17" s="19" t="s">
        <v>68</v>
      </c>
      <c r="C17" s="25" t="s">
        <v>32</v>
      </c>
      <c r="D17" s="29">
        <v>2.2000000000000002</v>
      </c>
      <c r="E17" s="29">
        <v>2.5</v>
      </c>
      <c r="F17" s="29"/>
      <c r="G17" s="18"/>
      <c r="I17" s="20" t="s">
        <v>64</v>
      </c>
    </row>
    <row r="18" spans="1:17" s="20" customFormat="1" ht="28.2" customHeight="1" x14ac:dyDescent="0.25">
      <c r="A18" s="18"/>
      <c r="B18" s="19" t="s">
        <v>69</v>
      </c>
      <c r="C18" s="25" t="s">
        <v>32</v>
      </c>
      <c r="D18" s="27">
        <f>D17*D10</f>
        <v>1299.0476190476193</v>
      </c>
      <c r="E18" s="27">
        <f>E17*E10</f>
        <v>1291.666666666667</v>
      </c>
      <c r="F18" s="27">
        <f>IF(ISERROR(F17*F10),0,F17*F10)</f>
        <v>0</v>
      </c>
      <c r="G18" s="18"/>
      <c r="I18" s="20" t="s">
        <v>65</v>
      </c>
    </row>
    <row r="19" spans="1:17" s="20" customFormat="1" ht="28.2" customHeight="1" x14ac:dyDescent="0.3">
      <c r="A19" s="18"/>
      <c r="B19" s="19" t="s">
        <v>97</v>
      </c>
      <c r="C19" s="25" t="s">
        <v>98</v>
      </c>
      <c r="D19" s="12">
        <v>24</v>
      </c>
      <c r="E19" s="82">
        <f>D19</f>
        <v>24</v>
      </c>
      <c r="F19" s="83">
        <f>D19</f>
        <v>24</v>
      </c>
      <c r="G19" s="18"/>
      <c r="J19" s="80"/>
    </row>
    <row r="20" spans="1:17" s="20" customFormat="1" ht="28.2" customHeight="1" x14ac:dyDescent="0.3">
      <c r="A20" s="18"/>
      <c r="B20" s="19" t="s">
        <v>54</v>
      </c>
      <c r="C20" s="25" t="s">
        <v>35</v>
      </c>
      <c r="D20" s="27">
        <f>D43</f>
        <v>311.7714285714286</v>
      </c>
      <c r="E20" s="27">
        <f t="shared" ref="E20:F20" si="0">E43</f>
        <v>310.00000000000006</v>
      </c>
      <c r="F20" s="27">
        <f t="shared" si="0"/>
        <v>0</v>
      </c>
      <c r="G20" s="18"/>
      <c r="J20" s="87"/>
      <c r="K20" s="88" t="s">
        <v>131</v>
      </c>
      <c r="L20" s="89"/>
      <c r="M20" s="89"/>
      <c r="N20" s="89"/>
      <c r="O20" s="89"/>
      <c r="P20" s="89"/>
      <c r="Q20" s="89"/>
    </row>
    <row r="21" spans="1:17" s="20" customFormat="1" ht="28.2" customHeight="1" x14ac:dyDescent="0.3">
      <c r="A21" s="18"/>
      <c r="B21" s="19" t="s">
        <v>55</v>
      </c>
      <c r="C21" s="25" t="s">
        <v>35</v>
      </c>
      <c r="D21" s="27">
        <f>D51</f>
        <v>351.45142857142849</v>
      </c>
      <c r="E21" s="27">
        <f t="shared" ref="E21:F21" si="1">E51</f>
        <v>297.60000000000002</v>
      </c>
      <c r="F21" s="27">
        <f t="shared" si="1"/>
        <v>0</v>
      </c>
      <c r="G21" s="18"/>
      <c r="J21" s="90" t="s">
        <v>135</v>
      </c>
      <c r="K21" s="90" t="s">
        <v>126</v>
      </c>
      <c r="L21" s="90" t="s">
        <v>127</v>
      </c>
      <c r="M21" s="90" t="s">
        <v>128</v>
      </c>
      <c r="N21" s="90" t="s">
        <v>129</v>
      </c>
      <c r="O21" s="89"/>
      <c r="P21" s="89"/>
      <c r="Q21" s="89"/>
    </row>
    <row r="22" spans="1:17" s="20" customFormat="1" ht="28.2" customHeight="1" x14ac:dyDescent="0.3">
      <c r="A22" s="18"/>
      <c r="B22" s="19" t="s">
        <v>16</v>
      </c>
      <c r="C22" s="25" t="s">
        <v>35</v>
      </c>
      <c r="D22" s="27">
        <f>D16+D20+D21</f>
        <v>725.22285714285704</v>
      </c>
      <c r="E22" s="27">
        <f t="shared" ref="E22:F22" si="2">E16+E20+E21</f>
        <v>651.60000000000014</v>
      </c>
      <c r="F22" s="27">
        <f t="shared" si="2"/>
        <v>0</v>
      </c>
      <c r="G22" s="18"/>
      <c r="I22" s="81"/>
      <c r="J22" s="91">
        <f>$E$15-$D$15</f>
        <v>249.3599999999999</v>
      </c>
      <c r="K22" s="91">
        <f>($E$22+$E$26)-($D$22+$D$26)</f>
        <v>-81.003809523809309</v>
      </c>
      <c r="L22" s="90">
        <f>$E$8</f>
        <v>80</v>
      </c>
      <c r="M22" s="92">
        <f>$E$28</f>
        <v>5.5</v>
      </c>
      <c r="N22" s="93">
        <f>($J$22-$K$22-$L$22*$M$22)*-1</f>
        <v>109.63619047619079</v>
      </c>
      <c r="O22" s="89"/>
      <c r="P22" s="89" t="s">
        <v>136</v>
      </c>
      <c r="Q22" s="89"/>
    </row>
    <row r="23" spans="1:17" s="20" customFormat="1" ht="28.2" customHeight="1" x14ac:dyDescent="0.3">
      <c r="A23" s="18"/>
      <c r="B23" s="19" t="s">
        <v>3</v>
      </c>
      <c r="C23" s="25" t="s">
        <v>35</v>
      </c>
      <c r="D23" s="30">
        <f>D24/D11*1000</f>
        <v>1.1697142857142855</v>
      </c>
      <c r="E23" s="30">
        <f>E24/E11*1000</f>
        <v>1.0509677419354839</v>
      </c>
      <c r="F23" s="30">
        <f>IF(ISERROR(F24/F11*1000),0,F24/F11*1000)</f>
        <v>0</v>
      </c>
      <c r="G23" s="18"/>
      <c r="I23" s="81"/>
      <c r="J23" s="91">
        <f>$E$15*$J$28-$D$15*$J$26</f>
        <v>288.03091935483837</v>
      </c>
      <c r="K23" s="91">
        <f>($E$22*$J$28+$E$26*$J$28)-($D$22*$J$26+$D$26*$J$26)</f>
        <v>12.030870967741976</v>
      </c>
      <c r="L23" s="94">
        <f>$E$8*$J$28</f>
        <v>56.51612903225805</v>
      </c>
      <c r="M23" s="92">
        <f>$E$28</f>
        <v>5.5</v>
      </c>
      <c r="N23" s="93">
        <f>($J$23-$K$23-$L$23*$M$23)*-1/$J$26</f>
        <v>56.360000000000475</v>
      </c>
      <c r="O23" s="89"/>
      <c r="P23" s="89" t="s">
        <v>137</v>
      </c>
      <c r="Q23" s="89"/>
    </row>
    <row r="24" spans="1:17" s="20" customFormat="1" ht="28.2" customHeight="1" x14ac:dyDescent="0.3">
      <c r="A24" s="18"/>
      <c r="B24" s="19" t="s">
        <v>43</v>
      </c>
      <c r="C24" s="25" t="s">
        <v>35</v>
      </c>
      <c r="D24" s="30">
        <f>D53</f>
        <v>1.2281999999999997</v>
      </c>
      <c r="E24" s="30">
        <f t="shared" ref="E24:F24" si="3">E53</f>
        <v>1.2611612903225806</v>
      </c>
      <c r="F24" s="30">
        <f t="shared" si="3"/>
        <v>0</v>
      </c>
      <c r="G24" s="18"/>
      <c r="J24" s="89"/>
      <c r="K24" s="89"/>
      <c r="L24" s="89"/>
      <c r="M24" s="89"/>
      <c r="N24" s="89"/>
      <c r="O24" s="89"/>
      <c r="P24" s="89"/>
      <c r="Q24" s="89"/>
    </row>
    <row r="25" spans="1:17" s="20" customFormat="1" ht="28.2" customHeight="1" x14ac:dyDescent="0.3">
      <c r="A25" s="18"/>
      <c r="B25" s="19" t="s">
        <v>41</v>
      </c>
      <c r="C25" s="25" t="s">
        <v>35</v>
      </c>
      <c r="D25" s="14">
        <v>0.1</v>
      </c>
      <c r="E25" s="14">
        <v>0.1</v>
      </c>
      <c r="F25" s="14">
        <v>0.1</v>
      </c>
      <c r="G25" s="18"/>
      <c r="I25" s="20" t="s">
        <v>8</v>
      </c>
      <c r="J25" s="95" t="s">
        <v>130</v>
      </c>
      <c r="K25" s="89"/>
      <c r="L25" s="89"/>
      <c r="M25" s="89"/>
      <c r="N25" s="89"/>
      <c r="O25" s="89"/>
      <c r="P25" s="89"/>
      <c r="Q25" s="89"/>
    </row>
    <row r="26" spans="1:17" s="20" customFormat="1" ht="28.2" customHeight="1" x14ac:dyDescent="0.3">
      <c r="A26" s="18"/>
      <c r="B26" s="19" t="s">
        <v>9</v>
      </c>
      <c r="C26" s="25" t="s">
        <v>35</v>
      </c>
      <c r="D26" s="31">
        <f>D25*D10</f>
        <v>59.047619047619051</v>
      </c>
      <c r="E26" s="31">
        <f>E25*E10</f>
        <v>51.666666666666679</v>
      </c>
      <c r="F26" s="31">
        <f>IF(ISERROR(F25*F10),0,F25*F10)</f>
        <v>0</v>
      </c>
      <c r="G26" s="18"/>
      <c r="I26" s="81"/>
      <c r="J26" s="96">
        <f>365/D10</f>
        <v>0.6181451612903226</v>
      </c>
      <c r="K26" s="89" t="s">
        <v>99</v>
      </c>
      <c r="L26" s="89"/>
      <c r="M26" s="89"/>
      <c r="N26" s="89"/>
      <c r="O26" s="89"/>
      <c r="P26" s="89"/>
      <c r="Q26" s="89"/>
    </row>
    <row r="27" spans="1:17" s="20" customFormat="1" ht="6.8" customHeight="1" x14ac:dyDescent="0.3">
      <c r="A27" s="18"/>
      <c r="F27" s="32"/>
      <c r="G27" s="18"/>
      <c r="I27" s="81"/>
      <c r="J27" s="96"/>
      <c r="K27" s="89"/>
      <c r="L27" s="89"/>
      <c r="M27" s="89"/>
      <c r="N27" s="89"/>
      <c r="O27" s="89"/>
      <c r="P27" s="89"/>
      <c r="Q27" s="89"/>
    </row>
    <row r="28" spans="1:17" s="20" customFormat="1" ht="28.2" customHeight="1" x14ac:dyDescent="0.3">
      <c r="A28" s="18"/>
      <c r="B28" s="19" t="s">
        <v>56</v>
      </c>
      <c r="C28" s="25" t="s">
        <v>35</v>
      </c>
      <c r="D28" s="33"/>
      <c r="E28" s="40">
        <v>5.5</v>
      </c>
      <c r="F28" s="14"/>
      <c r="G28" s="18"/>
      <c r="I28" s="81"/>
      <c r="J28" s="96">
        <f>365/E10</f>
        <v>0.70645161290322567</v>
      </c>
      <c r="K28" s="89" t="s">
        <v>1</v>
      </c>
      <c r="L28" s="89"/>
      <c r="M28" s="89"/>
      <c r="N28" s="89"/>
      <c r="O28" s="89"/>
      <c r="P28" s="89"/>
      <c r="Q28" s="89"/>
    </row>
    <row r="29" spans="1:17" s="20" customFormat="1" ht="28.2" customHeight="1" x14ac:dyDescent="0.3">
      <c r="A29" s="18"/>
      <c r="B29" s="19" t="s">
        <v>57</v>
      </c>
      <c r="C29" s="25" t="s">
        <v>35</v>
      </c>
      <c r="D29" s="12">
        <v>80</v>
      </c>
      <c r="E29" s="27">
        <f>E8*E28</f>
        <v>440</v>
      </c>
      <c r="F29" s="27">
        <f>F8*F28</f>
        <v>0</v>
      </c>
      <c r="G29" s="18"/>
      <c r="I29" s="20" t="s">
        <v>63</v>
      </c>
    </row>
    <row r="30" spans="1:17" s="20" customFormat="1" ht="28.2" customHeight="1" x14ac:dyDescent="0.3">
      <c r="A30" s="18"/>
      <c r="B30" s="19" t="s">
        <v>5</v>
      </c>
      <c r="C30" s="25" t="s">
        <v>35</v>
      </c>
      <c r="D30" s="27">
        <f>D29+D22+D26</f>
        <v>864.27047619047607</v>
      </c>
      <c r="E30" s="27">
        <f>E29+E22+E26</f>
        <v>1143.2666666666669</v>
      </c>
      <c r="F30" s="27">
        <f>F29+F22+F26</f>
        <v>0</v>
      </c>
      <c r="G30" s="18"/>
    </row>
    <row r="31" spans="1:17" s="20" customFormat="1" ht="28.2" customHeight="1" x14ac:dyDescent="0.3">
      <c r="A31" s="18"/>
      <c r="B31" s="15" t="s">
        <v>20</v>
      </c>
      <c r="C31" s="25" t="s">
        <v>35</v>
      </c>
      <c r="D31" s="34">
        <f>D15-D30</f>
        <v>402.56952380952384</v>
      </c>
      <c r="E31" s="34">
        <f>E15-E30</f>
        <v>372.93333333333294</v>
      </c>
      <c r="F31" s="34">
        <f>F15-F30</f>
        <v>0</v>
      </c>
      <c r="G31" s="18"/>
    </row>
    <row r="32" spans="1:17" s="20" customFormat="1" ht="28.2" customHeight="1" x14ac:dyDescent="0.3">
      <c r="A32" s="18"/>
      <c r="B32" s="35" t="s">
        <v>6</v>
      </c>
      <c r="C32" s="22" t="s">
        <v>35</v>
      </c>
      <c r="D32" s="36">
        <f>D31/D10*365</f>
        <v>248.84640322580648</v>
      </c>
      <c r="E32" s="36">
        <f>E31/E10*365</f>
        <v>263.45935483870937</v>
      </c>
      <c r="F32" s="36">
        <f>IF(ISERROR(F31/F10*365),0,F31/F10*365)</f>
        <v>0</v>
      </c>
      <c r="G32" s="18"/>
    </row>
    <row r="33" spans="1:16" s="20" customFormat="1" ht="28.2" customHeight="1" x14ac:dyDescent="0.3">
      <c r="A33" s="18"/>
      <c r="B33" s="15" t="s">
        <v>7</v>
      </c>
      <c r="C33" s="25" t="s">
        <v>35</v>
      </c>
      <c r="D33" s="37">
        <f>D31/D10</f>
        <v>0.68177096774193557</v>
      </c>
      <c r="E33" s="37">
        <f>E31/E10</f>
        <v>0.72180645161290236</v>
      </c>
      <c r="F33" s="37">
        <f>IF(ISERROR(F31/F10),0,F31/F10)</f>
        <v>0</v>
      </c>
      <c r="G33" s="18"/>
      <c r="I33" s="110" t="s">
        <v>12</v>
      </c>
      <c r="J33" s="111"/>
      <c r="K33" s="111"/>
      <c r="L33" s="111"/>
      <c r="M33" s="111"/>
      <c r="N33" s="112"/>
      <c r="P33" s="38"/>
    </row>
    <row r="34" spans="1:16" s="20" customFormat="1" ht="39.25" customHeight="1" x14ac:dyDescent="0.3">
      <c r="A34" s="18"/>
      <c r="B34" s="18"/>
      <c r="C34" s="18"/>
      <c r="D34" s="18"/>
      <c r="E34" s="18"/>
      <c r="F34" s="39"/>
      <c r="G34" s="18"/>
      <c r="I34" s="78" t="s">
        <v>70</v>
      </c>
      <c r="J34" s="40">
        <v>6</v>
      </c>
      <c r="K34" s="40">
        <v>5.7</v>
      </c>
      <c r="L34" s="40">
        <v>5.5</v>
      </c>
      <c r="M34" s="40">
        <v>5.3</v>
      </c>
      <c r="N34" s="40">
        <v>5</v>
      </c>
      <c r="P34" s="41"/>
    </row>
    <row r="35" spans="1:16" s="20" customFormat="1" ht="36.700000000000003" x14ac:dyDescent="0.3">
      <c r="F35" s="32"/>
      <c r="I35" s="79" t="s">
        <v>71</v>
      </c>
      <c r="J35" s="84">
        <f>($J$22-$K$22-$L$22*J34)*-1</f>
        <v>149.63619047619079</v>
      </c>
      <c r="K35" s="84">
        <f t="shared" ref="K35:N35" si="4">($J$22-$K$22-$L$22*K34)*-1</f>
        <v>125.63619047619079</v>
      </c>
      <c r="L35" s="84">
        <f t="shared" si="4"/>
        <v>109.63619047619079</v>
      </c>
      <c r="M35" s="84">
        <f t="shared" si="4"/>
        <v>93.636190476190791</v>
      </c>
      <c r="N35" s="84">
        <f t="shared" si="4"/>
        <v>69.636190476190791</v>
      </c>
    </row>
    <row r="36" spans="1:16" s="20" customFormat="1" ht="36.700000000000003" x14ac:dyDescent="0.3">
      <c r="A36" s="18"/>
      <c r="B36" s="97"/>
      <c r="C36" s="97"/>
      <c r="D36" s="97"/>
      <c r="E36" s="97"/>
      <c r="F36" s="98"/>
      <c r="G36" s="97"/>
      <c r="I36" s="79" t="s">
        <v>72</v>
      </c>
      <c r="J36" s="84">
        <f>($J$23-$K$23-$L$23*J34)*-1/$J$26</f>
        <v>102.07428571428618</v>
      </c>
      <c r="K36" s="84">
        <f t="shared" ref="K36:N36" si="5">($J$23-$K$23-$L$23*K34)*-1/$J$26</f>
        <v>74.645714285714774</v>
      </c>
      <c r="L36" s="84">
        <f t="shared" si="5"/>
        <v>56.360000000000475</v>
      </c>
      <c r="M36" s="84">
        <f t="shared" si="5"/>
        <v>38.074285714286177</v>
      </c>
      <c r="N36" s="84">
        <f t="shared" si="5"/>
        <v>10.645714285714774</v>
      </c>
    </row>
    <row r="37" spans="1:16" s="20" customFormat="1" ht="30.75" customHeight="1" x14ac:dyDescent="0.3">
      <c r="A37" s="18"/>
      <c r="B37" s="42" t="s">
        <v>17</v>
      </c>
      <c r="C37" s="43"/>
      <c r="D37" s="43"/>
      <c r="E37" s="43"/>
      <c r="F37" s="44"/>
      <c r="G37" s="97"/>
      <c r="I37" s="20" t="s">
        <v>111</v>
      </c>
    </row>
    <row r="38" spans="1:16" s="20" customFormat="1" ht="29.25" customHeight="1" x14ac:dyDescent="0.3">
      <c r="A38" s="18"/>
      <c r="F38" s="32"/>
      <c r="G38" s="97"/>
    </row>
    <row r="39" spans="1:16" s="20" customFormat="1" ht="28.2" customHeight="1" x14ac:dyDescent="0.3">
      <c r="A39" s="18"/>
      <c r="B39" s="45" t="s">
        <v>0</v>
      </c>
      <c r="C39" s="45" t="s">
        <v>31</v>
      </c>
      <c r="D39" s="46" t="str">
        <f t="shared" ref="D39:E39" si="6">D6</f>
        <v>Holstein</v>
      </c>
      <c r="E39" s="46" t="str">
        <f t="shared" si="6"/>
        <v>Fleckvieh</v>
      </c>
      <c r="F39" s="46" t="str">
        <f>F6</f>
        <v>eigenes Verfahren</v>
      </c>
      <c r="G39" s="97"/>
    </row>
    <row r="40" spans="1:16" s="20" customFormat="1" ht="6.8" customHeight="1" x14ac:dyDescent="0.3">
      <c r="A40" s="18"/>
      <c r="B40" s="21"/>
      <c r="C40" s="21"/>
      <c r="D40" s="21"/>
      <c r="E40" s="21"/>
      <c r="F40" s="47"/>
      <c r="G40" s="97"/>
    </row>
    <row r="41" spans="1:16" s="20" customFormat="1" ht="28.2" customHeight="1" x14ac:dyDescent="0.3">
      <c r="A41" s="18"/>
      <c r="B41" s="11" t="s">
        <v>49</v>
      </c>
      <c r="C41" s="11" t="s">
        <v>32</v>
      </c>
      <c r="D41" s="27">
        <f t="shared" ref="D41:F42" si="7">D18</f>
        <v>1299.0476190476193</v>
      </c>
      <c r="E41" s="27">
        <f t="shared" si="7"/>
        <v>1291.666666666667</v>
      </c>
      <c r="F41" s="27">
        <f t="shared" si="7"/>
        <v>0</v>
      </c>
      <c r="G41" s="97"/>
    </row>
    <row r="42" spans="1:16" s="20" customFormat="1" ht="28.2" customHeight="1" x14ac:dyDescent="0.3">
      <c r="A42" s="18"/>
      <c r="B42" s="11" t="s">
        <v>50</v>
      </c>
      <c r="C42" s="11" t="s">
        <v>35</v>
      </c>
      <c r="D42" s="48">
        <f t="shared" si="7"/>
        <v>24</v>
      </c>
      <c r="E42" s="48">
        <f t="shared" si="7"/>
        <v>24</v>
      </c>
      <c r="F42" s="48">
        <f t="shared" si="7"/>
        <v>24</v>
      </c>
      <c r="G42" s="97"/>
    </row>
    <row r="43" spans="1:16" s="20" customFormat="1" ht="28.2" customHeight="1" x14ac:dyDescent="0.3">
      <c r="A43" s="18"/>
      <c r="B43" s="11" t="s">
        <v>40</v>
      </c>
      <c r="C43" s="11" t="s">
        <v>35</v>
      </c>
      <c r="D43" s="13">
        <f>D41*D42/100</f>
        <v>311.7714285714286</v>
      </c>
      <c r="E43" s="13">
        <f t="shared" ref="E43" si="8">E41*E42/100</f>
        <v>310.00000000000006</v>
      </c>
      <c r="F43" s="49">
        <f t="shared" ref="F43" si="9">F41*F42/100</f>
        <v>0</v>
      </c>
      <c r="G43" s="97"/>
    </row>
    <row r="44" spans="1:16" s="20" customFormat="1" ht="28.2" customHeight="1" x14ac:dyDescent="0.3">
      <c r="A44" s="18"/>
      <c r="B44" s="11" t="s">
        <v>25</v>
      </c>
      <c r="C44" s="11" t="s">
        <v>44</v>
      </c>
      <c r="D44" s="27">
        <f>D41*12</f>
        <v>15588.571428571431</v>
      </c>
      <c r="E44" s="27">
        <f>E41*12</f>
        <v>15500.000000000004</v>
      </c>
      <c r="F44" s="27">
        <f>F41*12</f>
        <v>0</v>
      </c>
      <c r="G44" s="97"/>
    </row>
    <row r="45" spans="1:16" s="20" customFormat="1" ht="28.2" customHeight="1" x14ac:dyDescent="0.3">
      <c r="A45" s="18"/>
      <c r="B45" s="11" t="s">
        <v>95</v>
      </c>
      <c r="C45" s="11" t="s">
        <v>44</v>
      </c>
      <c r="D45" s="12">
        <v>76</v>
      </c>
      <c r="E45" s="12">
        <v>78</v>
      </c>
      <c r="F45" s="26">
        <v>85</v>
      </c>
      <c r="G45" s="97"/>
      <c r="I45" s="20" t="s">
        <v>112</v>
      </c>
    </row>
    <row r="46" spans="1:16" s="20" customFormat="1" ht="28.2" customHeight="1" x14ac:dyDescent="0.3">
      <c r="A46" s="18"/>
      <c r="B46" s="11" t="s">
        <v>51</v>
      </c>
      <c r="C46" s="11" t="s">
        <v>44</v>
      </c>
      <c r="D46" s="27">
        <f>D45*D10</f>
        <v>44876.190476190473</v>
      </c>
      <c r="E46" s="27">
        <f>E45*E10</f>
        <v>40300.000000000007</v>
      </c>
      <c r="F46" s="27">
        <f>IF(ISERROR(F45*F10),0,F45*F10)</f>
        <v>0</v>
      </c>
      <c r="G46" s="97"/>
    </row>
    <row r="47" spans="1:16" s="20" customFormat="1" ht="28.2" customHeight="1" x14ac:dyDescent="0.3">
      <c r="A47" s="18"/>
      <c r="B47" s="11" t="s">
        <v>22</v>
      </c>
      <c r="C47" s="11" t="s">
        <v>44</v>
      </c>
      <c r="D47" s="27">
        <f>D46-D44</f>
        <v>29287.619047619042</v>
      </c>
      <c r="E47" s="27">
        <f>E46-E44</f>
        <v>24800.000000000004</v>
      </c>
      <c r="F47" s="27">
        <f>IF(ISERROR(F46-F44),0,F46-F44)</f>
        <v>0</v>
      </c>
      <c r="G47" s="97"/>
      <c r="I47" s="20" t="s">
        <v>26</v>
      </c>
    </row>
    <row r="48" spans="1:16" s="20" customFormat="1" ht="39.9" customHeight="1" x14ac:dyDescent="0.3">
      <c r="A48" s="18"/>
      <c r="B48" s="50" t="s">
        <v>48</v>
      </c>
      <c r="C48" s="50" t="s">
        <v>45</v>
      </c>
      <c r="D48" s="48">
        <f>D47/154000</f>
        <v>0.19017934446505871</v>
      </c>
      <c r="E48" s="48">
        <f t="shared" ref="E48" si="10">E47/154000</f>
        <v>0.16103896103896106</v>
      </c>
      <c r="F48" s="48">
        <f>IF(ISERROR(F47/154000),0,F47/154000)</f>
        <v>0</v>
      </c>
      <c r="G48" s="97"/>
      <c r="I48" s="20" t="s">
        <v>28</v>
      </c>
    </row>
    <row r="49" spans="1:13" s="20" customFormat="1" ht="28.2" customHeight="1" x14ac:dyDescent="0.3">
      <c r="A49" s="18"/>
      <c r="B49" s="11" t="s">
        <v>18</v>
      </c>
      <c r="C49" s="11" t="s">
        <v>35</v>
      </c>
      <c r="D49" s="14">
        <v>0.12</v>
      </c>
      <c r="E49" s="14">
        <v>0.12</v>
      </c>
      <c r="F49" s="14">
        <v>0.12</v>
      </c>
      <c r="G49" s="97"/>
      <c r="I49" s="20" t="s">
        <v>96</v>
      </c>
    </row>
    <row r="50" spans="1:13" s="20" customFormat="1" ht="28.2" customHeight="1" x14ac:dyDescent="0.3">
      <c r="A50" s="18"/>
      <c r="B50" s="11" t="s">
        <v>27</v>
      </c>
      <c r="C50" s="11" t="s">
        <v>35</v>
      </c>
      <c r="D50" s="27">
        <f>D49*15400</f>
        <v>1848</v>
      </c>
      <c r="E50" s="27">
        <f t="shared" ref="E50" si="11">E49*15400</f>
        <v>1848</v>
      </c>
      <c r="F50" s="27">
        <f t="shared" ref="F50" si="12">F49*15400</f>
        <v>1848</v>
      </c>
      <c r="G50" s="97"/>
    </row>
    <row r="51" spans="1:13" s="20" customFormat="1" ht="28.2" customHeight="1" x14ac:dyDescent="0.3">
      <c r="A51" s="18"/>
      <c r="B51" s="11" t="s">
        <v>47</v>
      </c>
      <c r="C51" s="11" t="s">
        <v>35</v>
      </c>
      <c r="D51" s="27">
        <f>D47*D49/10</f>
        <v>351.45142857142849</v>
      </c>
      <c r="E51" s="27">
        <f t="shared" ref="E51" si="13">E47*E49/10</f>
        <v>297.60000000000002</v>
      </c>
      <c r="F51" s="27">
        <f>IF(ISERROR(F47*F49/10),0,F47*F49/10)</f>
        <v>0</v>
      </c>
      <c r="G51" s="97"/>
    </row>
    <row r="52" spans="1:13" s="20" customFormat="1" ht="28.2" customHeight="1" x14ac:dyDescent="0.3">
      <c r="A52" s="18"/>
      <c r="B52" s="11" t="s">
        <v>16</v>
      </c>
      <c r="C52" s="11" t="s">
        <v>35</v>
      </c>
      <c r="D52" s="27">
        <f>D43+D51+D16</f>
        <v>725.22285714285704</v>
      </c>
      <c r="E52" s="27">
        <f>E43+E51+E16</f>
        <v>651.60000000000014</v>
      </c>
      <c r="F52" s="27">
        <f>F43+F51+F16</f>
        <v>0</v>
      </c>
      <c r="G52" s="97"/>
    </row>
    <row r="53" spans="1:13" s="20" customFormat="1" ht="28.2" customHeight="1" x14ac:dyDescent="0.3">
      <c r="A53" s="18"/>
      <c r="B53" s="11" t="s">
        <v>46</v>
      </c>
      <c r="C53" s="11" t="s">
        <v>35</v>
      </c>
      <c r="D53" s="48">
        <f>D52/D10</f>
        <v>1.2281999999999997</v>
      </c>
      <c r="E53" s="48">
        <f>E52/E10</f>
        <v>1.2611612903225806</v>
      </c>
      <c r="F53" s="48">
        <f>IF(ISERROR(F52/F10),0,F52/F10)</f>
        <v>0</v>
      </c>
      <c r="G53" s="97"/>
      <c r="I53" s="116" t="s">
        <v>94</v>
      </c>
      <c r="J53" s="117"/>
      <c r="K53" s="117"/>
      <c r="L53" s="117"/>
      <c r="M53" s="118"/>
    </row>
    <row r="54" spans="1:13" s="20" customFormat="1" ht="19.2" customHeight="1" x14ac:dyDescent="0.3">
      <c r="A54" s="18"/>
      <c r="B54" s="97"/>
      <c r="C54" s="97"/>
      <c r="D54" s="97"/>
      <c r="E54" s="97"/>
      <c r="F54" s="97"/>
      <c r="G54" s="97"/>
      <c r="I54" s="11"/>
      <c r="J54" s="11"/>
      <c r="K54" s="11"/>
      <c r="L54" s="11"/>
      <c r="M54" s="11"/>
    </row>
    <row r="55" spans="1:13" s="20" customFormat="1" ht="34.5" customHeight="1" x14ac:dyDescent="0.3">
      <c r="I55" s="99" t="s">
        <v>87</v>
      </c>
      <c r="J55" s="25" t="s">
        <v>90</v>
      </c>
      <c r="K55" s="25" t="s">
        <v>91</v>
      </c>
      <c r="L55" s="25" t="s">
        <v>92</v>
      </c>
      <c r="M55" s="25" t="s">
        <v>93</v>
      </c>
    </row>
    <row r="56" spans="1:13" s="20" customFormat="1" ht="39.25" customHeight="1" x14ac:dyDescent="0.3">
      <c r="I56" s="99" t="s">
        <v>88</v>
      </c>
      <c r="J56" s="25">
        <v>68</v>
      </c>
      <c r="K56" s="25">
        <v>73</v>
      </c>
      <c r="L56" s="25">
        <v>78</v>
      </c>
      <c r="M56" s="25">
        <v>84</v>
      </c>
    </row>
    <row r="57" spans="1:13" s="20" customFormat="1" ht="39.4" customHeight="1" x14ac:dyDescent="0.3">
      <c r="I57" s="99" t="s">
        <v>89</v>
      </c>
      <c r="J57" s="25">
        <v>66</v>
      </c>
      <c r="K57" s="25">
        <v>74</v>
      </c>
      <c r="L57" s="25">
        <v>83</v>
      </c>
      <c r="M57" s="85"/>
    </row>
    <row r="58" spans="1:13" s="20" customFormat="1" ht="39.4" customHeight="1" x14ac:dyDescent="0.3">
      <c r="I58" s="99" t="s">
        <v>132</v>
      </c>
      <c r="J58" s="85"/>
      <c r="K58" s="25">
        <v>80</v>
      </c>
      <c r="L58" s="25">
        <v>85</v>
      </c>
      <c r="M58" s="25">
        <v>90</v>
      </c>
    </row>
    <row r="59" spans="1:13" s="20" customFormat="1" ht="18.350000000000001" x14ac:dyDescent="0.3"/>
    <row r="60" spans="1:13" s="20" customFormat="1" ht="35.5" customHeight="1" x14ac:dyDescent="0.3"/>
    <row r="61" spans="1:13" ht="47.25" customHeight="1" x14ac:dyDescent="0.2"/>
    <row r="62" spans="1:13" ht="50.95" customHeight="1" x14ac:dyDescent="0.2"/>
    <row r="111" ht="26.15" customHeight="1" x14ac:dyDescent="0.2"/>
  </sheetData>
  <sheetProtection sheet="1" objects="1" scenarios="1"/>
  <mergeCells count="3">
    <mergeCell ref="I33:N33"/>
    <mergeCell ref="B2:F2"/>
    <mergeCell ref="I53:M53"/>
  </mergeCells>
  <pageMargins left="0.70866141732283472" right="0.70866141732283472" top="0.78740157480314965" bottom="0.78740157480314965" header="0.31496062992125984" footer="0.31496062992125984"/>
  <pageSetup paperSize="9" scale="69" orientation="portrait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2"/>
  <sheetViews>
    <sheetView showGridLines="0" zoomScale="90" zoomScaleNormal="90" workbookViewId="0">
      <selection activeCell="B2" sqref="B2"/>
    </sheetView>
  </sheetViews>
  <sheetFormatPr baseColWidth="10" defaultRowHeight="13.6" x14ac:dyDescent="0.2"/>
  <cols>
    <col min="1" max="1" width="0.44140625" customWidth="1"/>
    <col min="2" max="2" width="2" customWidth="1"/>
    <col min="3" max="3" width="20.6640625" customWidth="1"/>
    <col min="4" max="5" width="13.6640625" customWidth="1"/>
    <col min="6" max="8" width="25.6640625" customWidth="1"/>
    <col min="9" max="9" width="1.88671875" customWidth="1"/>
    <col min="258" max="258" width="5.88671875" customWidth="1"/>
    <col min="259" max="259" width="24.44140625" customWidth="1"/>
    <col min="260" max="260" width="23.88671875" customWidth="1"/>
    <col min="261" max="261" width="18.6640625" customWidth="1"/>
    <col min="262" max="262" width="12.88671875" customWidth="1"/>
    <col min="263" max="263" width="11.77734375" customWidth="1"/>
    <col min="264" max="264" width="30.109375" customWidth="1"/>
    <col min="514" max="514" width="5.88671875" customWidth="1"/>
    <col min="515" max="515" width="24.44140625" customWidth="1"/>
    <col min="516" max="516" width="23.88671875" customWidth="1"/>
    <col min="517" max="517" width="18.6640625" customWidth="1"/>
    <col min="518" max="518" width="12.88671875" customWidth="1"/>
    <col min="519" max="519" width="11.77734375" customWidth="1"/>
    <col min="520" max="520" width="30.109375" customWidth="1"/>
    <col min="770" max="770" width="5.88671875" customWidth="1"/>
    <col min="771" max="771" width="24.44140625" customWidth="1"/>
    <col min="772" max="772" width="23.88671875" customWidth="1"/>
    <col min="773" max="773" width="18.6640625" customWidth="1"/>
    <col min="774" max="774" width="12.88671875" customWidth="1"/>
    <col min="775" max="775" width="11.77734375" customWidth="1"/>
    <col min="776" max="776" width="30.109375" customWidth="1"/>
    <col min="1026" max="1026" width="5.88671875" customWidth="1"/>
    <col min="1027" max="1027" width="24.44140625" customWidth="1"/>
    <col min="1028" max="1028" width="23.88671875" customWidth="1"/>
    <col min="1029" max="1029" width="18.6640625" customWidth="1"/>
    <col min="1030" max="1030" width="12.88671875" customWidth="1"/>
    <col min="1031" max="1031" width="11.77734375" customWidth="1"/>
    <col min="1032" max="1032" width="30.109375" customWidth="1"/>
    <col min="1282" max="1282" width="5.88671875" customWidth="1"/>
    <col min="1283" max="1283" width="24.44140625" customWidth="1"/>
    <col min="1284" max="1284" width="23.88671875" customWidth="1"/>
    <col min="1285" max="1285" width="18.6640625" customWidth="1"/>
    <col min="1286" max="1286" width="12.88671875" customWidth="1"/>
    <col min="1287" max="1287" width="11.77734375" customWidth="1"/>
    <col min="1288" max="1288" width="30.109375" customWidth="1"/>
    <col min="1538" max="1538" width="5.88671875" customWidth="1"/>
    <col min="1539" max="1539" width="24.44140625" customWidth="1"/>
    <col min="1540" max="1540" width="23.88671875" customWidth="1"/>
    <col min="1541" max="1541" width="18.6640625" customWidth="1"/>
    <col min="1542" max="1542" width="12.88671875" customWidth="1"/>
    <col min="1543" max="1543" width="11.77734375" customWidth="1"/>
    <col min="1544" max="1544" width="30.109375" customWidth="1"/>
    <col min="1794" max="1794" width="5.88671875" customWidth="1"/>
    <col min="1795" max="1795" width="24.44140625" customWidth="1"/>
    <col min="1796" max="1796" width="23.88671875" customWidth="1"/>
    <col min="1797" max="1797" width="18.6640625" customWidth="1"/>
    <col min="1798" max="1798" width="12.88671875" customWidth="1"/>
    <col min="1799" max="1799" width="11.77734375" customWidth="1"/>
    <col min="1800" max="1800" width="30.109375" customWidth="1"/>
    <col min="2050" max="2050" width="5.88671875" customWidth="1"/>
    <col min="2051" max="2051" width="24.44140625" customWidth="1"/>
    <col min="2052" max="2052" width="23.88671875" customWidth="1"/>
    <col min="2053" max="2053" width="18.6640625" customWidth="1"/>
    <col min="2054" max="2054" width="12.88671875" customWidth="1"/>
    <col min="2055" max="2055" width="11.77734375" customWidth="1"/>
    <col min="2056" max="2056" width="30.109375" customWidth="1"/>
    <col min="2306" max="2306" width="5.88671875" customWidth="1"/>
    <col min="2307" max="2307" width="24.44140625" customWidth="1"/>
    <col min="2308" max="2308" width="23.88671875" customWidth="1"/>
    <col min="2309" max="2309" width="18.6640625" customWidth="1"/>
    <col min="2310" max="2310" width="12.88671875" customWidth="1"/>
    <col min="2311" max="2311" width="11.77734375" customWidth="1"/>
    <col min="2312" max="2312" width="30.109375" customWidth="1"/>
    <col min="2562" max="2562" width="5.88671875" customWidth="1"/>
    <col min="2563" max="2563" width="24.44140625" customWidth="1"/>
    <col min="2564" max="2564" width="23.88671875" customWidth="1"/>
    <col min="2565" max="2565" width="18.6640625" customWidth="1"/>
    <col min="2566" max="2566" width="12.88671875" customWidth="1"/>
    <col min="2567" max="2567" width="11.77734375" customWidth="1"/>
    <col min="2568" max="2568" width="30.109375" customWidth="1"/>
    <col min="2818" max="2818" width="5.88671875" customWidth="1"/>
    <col min="2819" max="2819" width="24.44140625" customWidth="1"/>
    <col min="2820" max="2820" width="23.88671875" customWidth="1"/>
    <col min="2821" max="2821" width="18.6640625" customWidth="1"/>
    <col min="2822" max="2822" width="12.88671875" customWidth="1"/>
    <col min="2823" max="2823" width="11.77734375" customWidth="1"/>
    <col min="2824" max="2824" width="30.109375" customWidth="1"/>
    <col min="3074" max="3074" width="5.88671875" customWidth="1"/>
    <col min="3075" max="3075" width="24.44140625" customWidth="1"/>
    <col min="3076" max="3076" width="23.88671875" customWidth="1"/>
    <col min="3077" max="3077" width="18.6640625" customWidth="1"/>
    <col min="3078" max="3078" width="12.88671875" customWidth="1"/>
    <col min="3079" max="3079" width="11.77734375" customWidth="1"/>
    <col min="3080" max="3080" width="30.109375" customWidth="1"/>
    <col min="3330" max="3330" width="5.88671875" customWidth="1"/>
    <col min="3331" max="3331" width="24.44140625" customWidth="1"/>
    <col min="3332" max="3332" width="23.88671875" customWidth="1"/>
    <col min="3333" max="3333" width="18.6640625" customWidth="1"/>
    <col min="3334" max="3334" width="12.88671875" customWidth="1"/>
    <col min="3335" max="3335" width="11.77734375" customWidth="1"/>
    <col min="3336" max="3336" width="30.109375" customWidth="1"/>
    <col min="3586" max="3586" width="5.88671875" customWidth="1"/>
    <col min="3587" max="3587" width="24.44140625" customWidth="1"/>
    <col min="3588" max="3588" width="23.88671875" customWidth="1"/>
    <col min="3589" max="3589" width="18.6640625" customWidth="1"/>
    <col min="3590" max="3590" width="12.88671875" customWidth="1"/>
    <col min="3591" max="3591" width="11.77734375" customWidth="1"/>
    <col min="3592" max="3592" width="30.109375" customWidth="1"/>
    <col min="3842" max="3842" width="5.88671875" customWidth="1"/>
    <col min="3843" max="3843" width="24.44140625" customWidth="1"/>
    <col min="3844" max="3844" width="23.88671875" customWidth="1"/>
    <col min="3845" max="3845" width="18.6640625" customWidth="1"/>
    <col min="3846" max="3846" width="12.88671875" customWidth="1"/>
    <col min="3847" max="3847" width="11.77734375" customWidth="1"/>
    <col min="3848" max="3848" width="30.109375" customWidth="1"/>
    <col min="4098" max="4098" width="5.88671875" customWidth="1"/>
    <col min="4099" max="4099" width="24.44140625" customWidth="1"/>
    <col min="4100" max="4100" width="23.88671875" customWidth="1"/>
    <col min="4101" max="4101" width="18.6640625" customWidth="1"/>
    <col min="4102" max="4102" width="12.88671875" customWidth="1"/>
    <col min="4103" max="4103" width="11.77734375" customWidth="1"/>
    <col min="4104" max="4104" width="30.109375" customWidth="1"/>
    <col min="4354" max="4354" width="5.88671875" customWidth="1"/>
    <col min="4355" max="4355" width="24.44140625" customWidth="1"/>
    <col min="4356" max="4356" width="23.88671875" customWidth="1"/>
    <col min="4357" max="4357" width="18.6640625" customWidth="1"/>
    <col min="4358" max="4358" width="12.88671875" customWidth="1"/>
    <col min="4359" max="4359" width="11.77734375" customWidth="1"/>
    <col min="4360" max="4360" width="30.109375" customWidth="1"/>
    <col min="4610" max="4610" width="5.88671875" customWidth="1"/>
    <col min="4611" max="4611" width="24.44140625" customWidth="1"/>
    <col min="4612" max="4612" width="23.88671875" customWidth="1"/>
    <col min="4613" max="4613" width="18.6640625" customWidth="1"/>
    <col min="4614" max="4614" width="12.88671875" customWidth="1"/>
    <col min="4615" max="4615" width="11.77734375" customWidth="1"/>
    <col min="4616" max="4616" width="30.109375" customWidth="1"/>
    <col min="4866" max="4866" width="5.88671875" customWidth="1"/>
    <col min="4867" max="4867" width="24.44140625" customWidth="1"/>
    <col min="4868" max="4868" width="23.88671875" customWidth="1"/>
    <col min="4869" max="4869" width="18.6640625" customWidth="1"/>
    <col min="4870" max="4870" width="12.88671875" customWidth="1"/>
    <col min="4871" max="4871" width="11.77734375" customWidth="1"/>
    <col min="4872" max="4872" width="30.109375" customWidth="1"/>
    <col min="5122" max="5122" width="5.88671875" customWidth="1"/>
    <col min="5123" max="5123" width="24.44140625" customWidth="1"/>
    <col min="5124" max="5124" width="23.88671875" customWidth="1"/>
    <col min="5125" max="5125" width="18.6640625" customWidth="1"/>
    <col min="5126" max="5126" width="12.88671875" customWidth="1"/>
    <col min="5127" max="5127" width="11.77734375" customWidth="1"/>
    <col min="5128" max="5128" width="30.109375" customWidth="1"/>
    <col min="5378" max="5378" width="5.88671875" customWidth="1"/>
    <col min="5379" max="5379" width="24.44140625" customWidth="1"/>
    <col min="5380" max="5380" width="23.88671875" customWidth="1"/>
    <col min="5381" max="5381" width="18.6640625" customWidth="1"/>
    <col min="5382" max="5382" width="12.88671875" customWidth="1"/>
    <col min="5383" max="5383" width="11.77734375" customWidth="1"/>
    <col min="5384" max="5384" width="30.109375" customWidth="1"/>
    <col min="5634" max="5634" width="5.88671875" customWidth="1"/>
    <col min="5635" max="5635" width="24.44140625" customWidth="1"/>
    <col min="5636" max="5636" width="23.88671875" customWidth="1"/>
    <col min="5637" max="5637" width="18.6640625" customWidth="1"/>
    <col min="5638" max="5638" width="12.88671875" customWidth="1"/>
    <col min="5639" max="5639" width="11.77734375" customWidth="1"/>
    <col min="5640" max="5640" width="30.109375" customWidth="1"/>
    <col min="5890" max="5890" width="5.88671875" customWidth="1"/>
    <col min="5891" max="5891" width="24.44140625" customWidth="1"/>
    <col min="5892" max="5892" width="23.88671875" customWidth="1"/>
    <col min="5893" max="5893" width="18.6640625" customWidth="1"/>
    <col min="5894" max="5894" width="12.88671875" customWidth="1"/>
    <col min="5895" max="5895" width="11.77734375" customWidth="1"/>
    <col min="5896" max="5896" width="30.109375" customWidth="1"/>
    <col min="6146" max="6146" width="5.88671875" customWidth="1"/>
    <col min="6147" max="6147" width="24.44140625" customWidth="1"/>
    <col min="6148" max="6148" width="23.88671875" customWidth="1"/>
    <col min="6149" max="6149" width="18.6640625" customWidth="1"/>
    <col min="6150" max="6150" width="12.88671875" customWidth="1"/>
    <col min="6151" max="6151" width="11.77734375" customWidth="1"/>
    <col min="6152" max="6152" width="30.109375" customWidth="1"/>
    <col min="6402" max="6402" width="5.88671875" customWidth="1"/>
    <col min="6403" max="6403" width="24.44140625" customWidth="1"/>
    <col min="6404" max="6404" width="23.88671875" customWidth="1"/>
    <col min="6405" max="6405" width="18.6640625" customWidth="1"/>
    <col min="6406" max="6406" width="12.88671875" customWidth="1"/>
    <col min="6407" max="6407" width="11.77734375" customWidth="1"/>
    <col min="6408" max="6408" width="30.109375" customWidth="1"/>
    <col min="6658" max="6658" width="5.88671875" customWidth="1"/>
    <col min="6659" max="6659" width="24.44140625" customWidth="1"/>
    <col min="6660" max="6660" width="23.88671875" customWidth="1"/>
    <col min="6661" max="6661" width="18.6640625" customWidth="1"/>
    <col min="6662" max="6662" width="12.88671875" customWidth="1"/>
    <col min="6663" max="6663" width="11.77734375" customWidth="1"/>
    <col min="6664" max="6664" width="30.109375" customWidth="1"/>
    <col min="6914" max="6914" width="5.88671875" customWidth="1"/>
    <col min="6915" max="6915" width="24.44140625" customWidth="1"/>
    <col min="6916" max="6916" width="23.88671875" customWidth="1"/>
    <col min="6917" max="6917" width="18.6640625" customWidth="1"/>
    <col min="6918" max="6918" width="12.88671875" customWidth="1"/>
    <col min="6919" max="6919" width="11.77734375" customWidth="1"/>
    <col min="6920" max="6920" width="30.109375" customWidth="1"/>
    <col min="7170" max="7170" width="5.88671875" customWidth="1"/>
    <col min="7171" max="7171" width="24.44140625" customWidth="1"/>
    <col min="7172" max="7172" width="23.88671875" customWidth="1"/>
    <col min="7173" max="7173" width="18.6640625" customWidth="1"/>
    <col min="7174" max="7174" width="12.88671875" customWidth="1"/>
    <col min="7175" max="7175" width="11.77734375" customWidth="1"/>
    <col min="7176" max="7176" width="30.109375" customWidth="1"/>
    <col min="7426" max="7426" width="5.88671875" customWidth="1"/>
    <col min="7427" max="7427" width="24.44140625" customWidth="1"/>
    <col min="7428" max="7428" width="23.88671875" customWidth="1"/>
    <col min="7429" max="7429" width="18.6640625" customWidth="1"/>
    <col min="7430" max="7430" width="12.88671875" customWidth="1"/>
    <col min="7431" max="7431" width="11.77734375" customWidth="1"/>
    <col min="7432" max="7432" width="30.109375" customWidth="1"/>
    <col min="7682" max="7682" width="5.88671875" customWidth="1"/>
    <col min="7683" max="7683" width="24.44140625" customWidth="1"/>
    <col min="7684" max="7684" width="23.88671875" customWidth="1"/>
    <col min="7685" max="7685" width="18.6640625" customWidth="1"/>
    <col min="7686" max="7686" width="12.88671875" customWidth="1"/>
    <col min="7687" max="7687" width="11.77734375" customWidth="1"/>
    <col min="7688" max="7688" width="30.109375" customWidth="1"/>
    <col min="7938" max="7938" width="5.88671875" customWidth="1"/>
    <col min="7939" max="7939" width="24.44140625" customWidth="1"/>
    <col min="7940" max="7940" width="23.88671875" customWidth="1"/>
    <col min="7941" max="7941" width="18.6640625" customWidth="1"/>
    <col min="7942" max="7942" width="12.88671875" customWidth="1"/>
    <col min="7943" max="7943" width="11.77734375" customWidth="1"/>
    <col min="7944" max="7944" width="30.109375" customWidth="1"/>
    <col min="8194" max="8194" width="5.88671875" customWidth="1"/>
    <col min="8195" max="8195" width="24.44140625" customWidth="1"/>
    <col min="8196" max="8196" width="23.88671875" customWidth="1"/>
    <col min="8197" max="8197" width="18.6640625" customWidth="1"/>
    <col min="8198" max="8198" width="12.88671875" customWidth="1"/>
    <col min="8199" max="8199" width="11.77734375" customWidth="1"/>
    <col min="8200" max="8200" width="30.109375" customWidth="1"/>
    <col min="8450" max="8450" width="5.88671875" customWidth="1"/>
    <col min="8451" max="8451" width="24.44140625" customWidth="1"/>
    <col min="8452" max="8452" width="23.88671875" customWidth="1"/>
    <col min="8453" max="8453" width="18.6640625" customWidth="1"/>
    <col min="8454" max="8454" width="12.88671875" customWidth="1"/>
    <col min="8455" max="8455" width="11.77734375" customWidth="1"/>
    <col min="8456" max="8456" width="30.109375" customWidth="1"/>
    <col min="8706" max="8706" width="5.88671875" customWidth="1"/>
    <col min="8707" max="8707" width="24.44140625" customWidth="1"/>
    <col min="8708" max="8708" width="23.88671875" customWidth="1"/>
    <col min="8709" max="8709" width="18.6640625" customWidth="1"/>
    <col min="8710" max="8710" width="12.88671875" customWidth="1"/>
    <col min="8711" max="8711" width="11.77734375" customWidth="1"/>
    <col min="8712" max="8712" width="30.109375" customWidth="1"/>
    <col min="8962" max="8962" width="5.88671875" customWidth="1"/>
    <col min="8963" max="8963" width="24.44140625" customWidth="1"/>
    <col min="8964" max="8964" width="23.88671875" customWidth="1"/>
    <col min="8965" max="8965" width="18.6640625" customWidth="1"/>
    <col min="8966" max="8966" width="12.88671875" customWidth="1"/>
    <col min="8967" max="8967" width="11.77734375" customWidth="1"/>
    <col min="8968" max="8968" width="30.109375" customWidth="1"/>
    <col min="9218" max="9218" width="5.88671875" customWidth="1"/>
    <col min="9219" max="9219" width="24.44140625" customWidth="1"/>
    <col min="9220" max="9220" width="23.88671875" customWidth="1"/>
    <col min="9221" max="9221" width="18.6640625" customWidth="1"/>
    <col min="9222" max="9222" width="12.88671875" customWidth="1"/>
    <col min="9223" max="9223" width="11.77734375" customWidth="1"/>
    <col min="9224" max="9224" width="30.109375" customWidth="1"/>
    <col min="9474" max="9474" width="5.88671875" customWidth="1"/>
    <col min="9475" max="9475" width="24.44140625" customWidth="1"/>
    <col min="9476" max="9476" width="23.88671875" customWidth="1"/>
    <col min="9477" max="9477" width="18.6640625" customWidth="1"/>
    <col min="9478" max="9478" width="12.88671875" customWidth="1"/>
    <col min="9479" max="9479" width="11.77734375" customWidth="1"/>
    <col min="9480" max="9480" width="30.109375" customWidth="1"/>
    <col min="9730" max="9730" width="5.88671875" customWidth="1"/>
    <col min="9731" max="9731" width="24.44140625" customWidth="1"/>
    <col min="9732" max="9732" width="23.88671875" customWidth="1"/>
    <col min="9733" max="9733" width="18.6640625" customWidth="1"/>
    <col min="9734" max="9734" width="12.88671875" customWidth="1"/>
    <col min="9735" max="9735" width="11.77734375" customWidth="1"/>
    <col min="9736" max="9736" width="30.109375" customWidth="1"/>
    <col min="9986" max="9986" width="5.88671875" customWidth="1"/>
    <col min="9987" max="9987" width="24.44140625" customWidth="1"/>
    <col min="9988" max="9988" width="23.88671875" customWidth="1"/>
    <col min="9989" max="9989" width="18.6640625" customWidth="1"/>
    <col min="9990" max="9990" width="12.88671875" customWidth="1"/>
    <col min="9991" max="9991" width="11.77734375" customWidth="1"/>
    <col min="9992" max="9992" width="30.109375" customWidth="1"/>
    <col min="10242" max="10242" width="5.88671875" customWidth="1"/>
    <col min="10243" max="10243" width="24.44140625" customWidth="1"/>
    <col min="10244" max="10244" width="23.88671875" customWidth="1"/>
    <col min="10245" max="10245" width="18.6640625" customWidth="1"/>
    <col min="10246" max="10246" width="12.88671875" customWidth="1"/>
    <col min="10247" max="10247" width="11.77734375" customWidth="1"/>
    <col min="10248" max="10248" width="30.109375" customWidth="1"/>
    <col min="10498" max="10498" width="5.88671875" customWidth="1"/>
    <col min="10499" max="10499" width="24.44140625" customWidth="1"/>
    <col min="10500" max="10500" width="23.88671875" customWidth="1"/>
    <col min="10501" max="10501" width="18.6640625" customWidth="1"/>
    <col min="10502" max="10502" width="12.88671875" customWidth="1"/>
    <col min="10503" max="10503" width="11.77734375" customWidth="1"/>
    <col min="10504" max="10504" width="30.109375" customWidth="1"/>
    <col min="10754" max="10754" width="5.88671875" customWidth="1"/>
    <col min="10755" max="10755" width="24.44140625" customWidth="1"/>
    <col min="10756" max="10756" width="23.88671875" customWidth="1"/>
    <col min="10757" max="10757" width="18.6640625" customWidth="1"/>
    <col min="10758" max="10758" width="12.88671875" customWidth="1"/>
    <col min="10759" max="10759" width="11.77734375" customWidth="1"/>
    <col min="10760" max="10760" width="30.109375" customWidth="1"/>
    <col min="11010" max="11010" width="5.88671875" customWidth="1"/>
    <col min="11011" max="11011" width="24.44140625" customWidth="1"/>
    <col min="11012" max="11012" width="23.88671875" customWidth="1"/>
    <col min="11013" max="11013" width="18.6640625" customWidth="1"/>
    <col min="11014" max="11014" width="12.88671875" customWidth="1"/>
    <col min="11015" max="11015" width="11.77734375" customWidth="1"/>
    <col min="11016" max="11016" width="30.109375" customWidth="1"/>
    <col min="11266" max="11266" width="5.88671875" customWidth="1"/>
    <col min="11267" max="11267" width="24.44140625" customWidth="1"/>
    <col min="11268" max="11268" width="23.88671875" customWidth="1"/>
    <col min="11269" max="11269" width="18.6640625" customWidth="1"/>
    <col min="11270" max="11270" width="12.88671875" customWidth="1"/>
    <col min="11271" max="11271" width="11.77734375" customWidth="1"/>
    <col min="11272" max="11272" width="30.109375" customWidth="1"/>
    <col min="11522" max="11522" width="5.88671875" customWidth="1"/>
    <col min="11523" max="11523" width="24.44140625" customWidth="1"/>
    <col min="11524" max="11524" width="23.88671875" customWidth="1"/>
    <col min="11525" max="11525" width="18.6640625" customWidth="1"/>
    <col min="11526" max="11526" width="12.88671875" customWidth="1"/>
    <col min="11527" max="11527" width="11.77734375" customWidth="1"/>
    <col min="11528" max="11528" width="30.109375" customWidth="1"/>
    <col min="11778" max="11778" width="5.88671875" customWidth="1"/>
    <col min="11779" max="11779" width="24.44140625" customWidth="1"/>
    <col min="11780" max="11780" width="23.88671875" customWidth="1"/>
    <col min="11781" max="11781" width="18.6640625" customWidth="1"/>
    <col min="11782" max="11782" width="12.88671875" customWidth="1"/>
    <col min="11783" max="11783" width="11.77734375" customWidth="1"/>
    <col min="11784" max="11784" width="30.109375" customWidth="1"/>
    <col min="12034" max="12034" width="5.88671875" customWidth="1"/>
    <col min="12035" max="12035" width="24.44140625" customWidth="1"/>
    <col min="12036" max="12036" width="23.88671875" customWidth="1"/>
    <col min="12037" max="12037" width="18.6640625" customWidth="1"/>
    <col min="12038" max="12038" width="12.88671875" customWidth="1"/>
    <col min="12039" max="12039" width="11.77734375" customWidth="1"/>
    <col min="12040" max="12040" width="30.109375" customWidth="1"/>
    <col min="12290" max="12290" width="5.88671875" customWidth="1"/>
    <col min="12291" max="12291" width="24.44140625" customWidth="1"/>
    <col min="12292" max="12292" width="23.88671875" customWidth="1"/>
    <col min="12293" max="12293" width="18.6640625" customWidth="1"/>
    <col min="12294" max="12294" width="12.88671875" customWidth="1"/>
    <col min="12295" max="12295" width="11.77734375" customWidth="1"/>
    <col min="12296" max="12296" width="30.109375" customWidth="1"/>
    <col min="12546" max="12546" width="5.88671875" customWidth="1"/>
    <col min="12547" max="12547" width="24.44140625" customWidth="1"/>
    <col min="12548" max="12548" width="23.88671875" customWidth="1"/>
    <col min="12549" max="12549" width="18.6640625" customWidth="1"/>
    <col min="12550" max="12550" width="12.88671875" customWidth="1"/>
    <col min="12551" max="12551" width="11.77734375" customWidth="1"/>
    <col min="12552" max="12552" width="30.109375" customWidth="1"/>
    <col min="12802" max="12802" width="5.88671875" customWidth="1"/>
    <col min="12803" max="12803" width="24.44140625" customWidth="1"/>
    <col min="12804" max="12804" width="23.88671875" customWidth="1"/>
    <col min="12805" max="12805" width="18.6640625" customWidth="1"/>
    <col min="12806" max="12806" width="12.88671875" customWidth="1"/>
    <col min="12807" max="12807" width="11.77734375" customWidth="1"/>
    <col min="12808" max="12808" width="30.109375" customWidth="1"/>
    <col min="13058" max="13058" width="5.88671875" customWidth="1"/>
    <col min="13059" max="13059" width="24.44140625" customWidth="1"/>
    <col min="13060" max="13060" width="23.88671875" customWidth="1"/>
    <col min="13061" max="13061" width="18.6640625" customWidth="1"/>
    <col min="13062" max="13062" width="12.88671875" customWidth="1"/>
    <col min="13063" max="13063" width="11.77734375" customWidth="1"/>
    <col min="13064" max="13064" width="30.109375" customWidth="1"/>
    <col min="13314" max="13314" width="5.88671875" customWidth="1"/>
    <col min="13315" max="13315" width="24.44140625" customWidth="1"/>
    <col min="13316" max="13316" width="23.88671875" customWidth="1"/>
    <col min="13317" max="13317" width="18.6640625" customWidth="1"/>
    <col min="13318" max="13318" width="12.88671875" customWidth="1"/>
    <col min="13319" max="13319" width="11.77734375" customWidth="1"/>
    <col min="13320" max="13320" width="30.109375" customWidth="1"/>
    <col min="13570" max="13570" width="5.88671875" customWidth="1"/>
    <col min="13571" max="13571" width="24.44140625" customWidth="1"/>
    <col min="13572" max="13572" width="23.88671875" customWidth="1"/>
    <col min="13573" max="13573" width="18.6640625" customWidth="1"/>
    <col min="13574" max="13574" width="12.88671875" customWidth="1"/>
    <col min="13575" max="13575" width="11.77734375" customWidth="1"/>
    <col min="13576" max="13576" width="30.109375" customWidth="1"/>
    <col min="13826" max="13826" width="5.88671875" customWidth="1"/>
    <col min="13827" max="13827" width="24.44140625" customWidth="1"/>
    <col min="13828" max="13828" width="23.88671875" customWidth="1"/>
    <col min="13829" max="13829" width="18.6640625" customWidth="1"/>
    <col min="13830" max="13830" width="12.88671875" customWidth="1"/>
    <col min="13831" max="13831" width="11.77734375" customWidth="1"/>
    <col min="13832" max="13832" width="30.109375" customWidth="1"/>
    <col min="14082" max="14082" width="5.88671875" customWidth="1"/>
    <col min="14083" max="14083" width="24.44140625" customWidth="1"/>
    <col min="14084" max="14084" width="23.88671875" customWidth="1"/>
    <col min="14085" max="14085" width="18.6640625" customWidth="1"/>
    <col min="14086" max="14086" width="12.88671875" customWidth="1"/>
    <col min="14087" max="14087" width="11.77734375" customWidth="1"/>
    <col min="14088" max="14088" width="30.109375" customWidth="1"/>
    <col min="14338" max="14338" width="5.88671875" customWidth="1"/>
    <col min="14339" max="14339" width="24.44140625" customWidth="1"/>
    <col min="14340" max="14340" width="23.88671875" customWidth="1"/>
    <col min="14341" max="14341" width="18.6640625" customWidth="1"/>
    <col min="14342" max="14342" width="12.88671875" customWidth="1"/>
    <col min="14343" max="14343" width="11.77734375" customWidth="1"/>
    <col min="14344" max="14344" width="30.109375" customWidth="1"/>
    <col min="14594" max="14594" width="5.88671875" customWidth="1"/>
    <col min="14595" max="14595" width="24.44140625" customWidth="1"/>
    <col min="14596" max="14596" width="23.88671875" customWidth="1"/>
    <col min="14597" max="14597" width="18.6640625" customWidth="1"/>
    <col min="14598" max="14598" width="12.88671875" customWidth="1"/>
    <col min="14599" max="14599" width="11.77734375" customWidth="1"/>
    <col min="14600" max="14600" width="30.109375" customWidth="1"/>
    <col min="14850" max="14850" width="5.88671875" customWidth="1"/>
    <col min="14851" max="14851" width="24.44140625" customWidth="1"/>
    <col min="14852" max="14852" width="23.88671875" customWidth="1"/>
    <col min="14853" max="14853" width="18.6640625" customWidth="1"/>
    <col min="14854" max="14854" width="12.88671875" customWidth="1"/>
    <col min="14855" max="14855" width="11.77734375" customWidth="1"/>
    <col min="14856" max="14856" width="30.109375" customWidth="1"/>
    <col min="15106" max="15106" width="5.88671875" customWidth="1"/>
    <col min="15107" max="15107" width="24.44140625" customWidth="1"/>
    <col min="15108" max="15108" width="23.88671875" customWidth="1"/>
    <col min="15109" max="15109" width="18.6640625" customWidth="1"/>
    <col min="15110" max="15110" width="12.88671875" customWidth="1"/>
    <col min="15111" max="15111" width="11.77734375" customWidth="1"/>
    <col min="15112" max="15112" width="30.109375" customWidth="1"/>
    <col min="15362" max="15362" width="5.88671875" customWidth="1"/>
    <col min="15363" max="15363" width="24.44140625" customWidth="1"/>
    <col min="15364" max="15364" width="23.88671875" customWidth="1"/>
    <col min="15365" max="15365" width="18.6640625" customWidth="1"/>
    <col min="15366" max="15366" width="12.88671875" customWidth="1"/>
    <col min="15367" max="15367" width="11.77734375" customWidth="1"/>
    <col min="15368" max="15368" width="30.109375" customWidth="1"/>
    <col min="15618" max="15618" width="5.88671875" customWidth="1"/>
    <col min="15619" max="15619" width="24.44140625" customWidth="1"/>
    <col min="15620" max="15620" width="23.88671875" customWidth="1"/>
    <col min="15621" max="15621" width="18.6640625" customWidth="1"/>
    <col min="15622" max="15622" width="12.88671875" customWidth="1"/>
    <col min="15623" max="15623" width="11.77734375" customWidth="1"/>
    <col min="15624" max="15624" width="30.109375" customWidth="1"/>
    <col min="15874" max="15874" width="5.88671875" customWidth="1"/>
    <col min="15875" max="15875" width="24.44140625" customWidth="1"/>
    <col min="15876" max="15876" width="23.88671875" customWidth="1"/>
    <col min="15877" max="15877" width="18.6640625" customWidth="1"/>
    <col min="15878" max="15878" width="12.88671875" customWidth="1"/>
    <col min="15879" max="15879" width="11.77734375" customWidth="1"/>
    <col min="15880" max="15880" width="30.109375" customWidth="1"/>
    <col min="16130" max="16130" width="5.88671875" customWidth="1"/>
    <col min="16131" max="16131" width="24.44140625" customWidth="1"/>
    <col min="16132" max="16132" width="23.88671875" customWidth="1"/>
    <col min="16133" max="16133" width="18.6640625" customWidth="1"/>
    <col min="16134" max="16134" width="12.88671875" customWidth="1"/>
    <col min="16135" max="16135" width="11.77734375" customWidth="1"/>
    <col min="16136" max="16136" width="30.109375" customWidth="1"/>
  </cols>
  <sheetData>
    <row r="1" spans="1:9" ht="4.75" customHeight="1" x14ac:dyDescent="0.2"/>
    <row r="2" spans="1:9" ht="12.25" customHeight="1" x14ac:dyDescent="0.2">
      <c r="A2" s="10"/>
      <c r="B2" s="7"/>
      <c r="C2" s="7"/>
      <c r="D2" s="7"/>
      <c r="E2" s="7"/>
      <c r="F2" s="7"/>
      <c r="G2" s="7"/>
      <c r="H2" s="7"/>
      <c r="I2" s="7"/>
    </row>
    <row r="3" spans="1:9" ht="18.350000000000001" x14ac:dyDescent="0.3">
      <c r="B3" s="7"/>
      <c r="C3" s="119" t="s">
        <v>101</v>
      </c>
      <c r="D3" s="120"/>
      <c r="E3" s="120"/>
      <c r="F3" s="120"/>
      <c r="G3" s="120"/>
      <c r="H3" s="121"/>
      <c r="I3" s="7"/>
    </row>
    <row r="4" spans="1:9" ht="9" customHeight="1" x14ac:dyDescent="0.2">
      <c r="B4" s="7"/>
      <c r="C4" s="16"/>
      <c r="D4" s="5"/>
      <c r="E4" s="5"/>
      <c r="F4" s="5"/>
      <c r="G4" s="5"/>
      <c r="H4" s="17"/>
      <c r="I4" s="7"/>
    </row>
    <row r="5" spans="1:9" s="1" customFormat="1" ht="79.5" customHeight="1" x14ac:dyDescent="0.25">
      <c r="B5" s="8"/>
      <c r="C5" s="56" t="s">
        <v>14</v>
      </c>
      <c r="D5" s="56" t="s">
        <v>118</v>
      </c>
      <c r="E5" s="56" t="s">
        <v>119</v>
      </c>
      <c r="F5" s="56" t="s">
        <v>108</v>
      </c>
      <c r="G5" s="57" t="s">
        <v>120</v>
      </c>
      <c r="H5" s="56" t="s">
        <v>123</v>
      </c>
      <c r="I5" s="8"/>
    </row>
    <row r="6" spans="1:9" s="1" customFormat="1" ht="28.2" customHeight="1" x14ac:dyDescent="0.25">
      <c r="B6" s="8"/>
      <c r="C6" s="58"/>
      <c r="D6" s="56"/>
      <c r="E6" s="58"/>
      <c r="F6" s="59"/>
      <c r="G6" s="60">
        <v>70</v>
      </c>
      <c r="H6" s="56"/>
      <c r="I6" s="8"/>
    </row>
    <row r="7" spans="1:9" ht="28.2" customHeight="1" x14ac:dyDescent="0.25">
      <c r="B7" s="7"/>
      <c r="C7" s="61"/>
      <c r="D7" s="61"/>
      <c r="E7" s="61"/>
      <c r="F7" s="61" t="s">
        <v>76</v>
      </c>
      <c r="G7" s="61" t="s">
        <v>76</v>
      </c>
      <c r="H7" s="61" t="s">
        <v>76</v>
      </c>
      <c r="I7" s="7"/>
    </row>
    <row r="8" spans="1:9" ht="28.2" customHeight="1" x14ac:dyDescent="0.2">
      <c r="B8" s="7"/>
      <c r="C8" s="61" t="s">
        <v>75</v>
      </c>
      <c r="D8" s="62">
        <v>240</v>
      </c>
      <c r="E8" s="63">
        <v>0.45</v>
      </c>
      <c r="F8" s="64">
        <f>D8*E8</f>
        <v>108</v>
      </c>
      <c r="G8" s="64">
        <f>D8*E8*G6/100</f>
        <v>75.599999999999994</v>
      </c>
      <c r="H8" s="65"/>
      <c r="I8" s="7"/>
    </row>
    <row r="9" spans="1:9" ht="35.5" customHeight="1" x14ac:dyDescent="0.2">
      <c r="B9" s="7"/>
      <c r="C9" s="66" t="s">
        <v>121</v>
      </c>
      <c r="D9" s="62">
        <v>260</v>
      </c>
      <c r="E9" s="63">
        <v>0.45</v>
      </c>
      <c r="F9" s="64"/>
      <c r="G9" s="64"/>
      <c r="H9" s="65">
        <f>D9*E9</f>
        <v>117</v>
      </c>
      <c r="I9" s="7"/>
    </row>
    <row r="10" spans="1:9" ht="28.2" customHeight="1" x14ac:dyDescent="0.2">
      <c r="B10" s="7"/>
      <c r="C10" s="61" t="s">
        <v>74</v>
      </c>
      <c r="D10" s="62">
        <v>60</v>
      </c>
      <c r="E10" s="63">
        <v>0.45</v>
      </c>
      <c r="F10" s="64">
        <f>D10*E10</f>
        <v>27</v>
      </c>
      <c r="G10" s="64">
        <f>D10*E10*G6/100</f>
        <v>18.899999999999999</v>
      </c>
      <c r="H10" s="65"/>
      <c r="I10" s="7"/>
    </row>
    <row r="11" spans="1:9" ht="28.2" customHeight="1" x14ac:dyDescent="0.2">
      <c r="B11" s="7"/>
      <c r="C11" s="61" t="s">
        <v>73</v>
      </c>
      <c r="D11" s="62">
        <v>150</v>
      </c>
      <c r="E11" s="63">
        <v>0.45</v>
      </c>
      <c r="F11" s="64"/>
      <c r="G11" s="64">
        <f>D11*E11*(100-G6)/100</f>
        <v>20.25</v>
      </c>
      <c r="H11" s="64">
        <f>D11*E11*0.5</f>
        <v>33.75</v>
      </c>
      <c r="I11" s="7"/>
    </row>
    <row r="12" spans="1:9" ht="28.2" customHeight="1" x14ac:dyDescent="0.2">
      <c r="B12" s="7"/>
      <c r="C12" s="61" t="s">
        <v>15</v>
      </c>
      <c r="D12" s="62">
        <v>280</v>
      </c>
      <c r="E12" s="63">
        <v>0.45</v>
      </c>
      <c r="F12" s="64"/>
      <c r="G12" s="64">
        <f>D12*E12*(100-G6)/100</f>
        <v>37.799999999999997</v>
      </c>
      <c r="H12" s="65">
        <f>D12*E12*0.5</f>
        <v>63</v>
      </c>
      <c r="I12" s="7"/>
    </row>
    <row r="13" spans="1:9" ht="5.3" customHeight="1" x14ac:dyDescent="0.2">
      <c r="B13" s="7"/>
      <c r="C13" s="122"/>
      <c r="D13" s="123"/>
      <c r="E13" s="123"/>
      <c r="F13" s="123"/>
      <c r="G13" s="123"/>
      <c r="H13" s="124"/>
      <c r="I13" s="7"/>
    </row>
    <row r="14" spans="1:9" ht="18" x14ac:dyDescent="0.2">
      <c r="B14" s="7"/>
      <c r="C14" s="61"/>
      <c r="D14" s="61"/>
      <c r="E14" s="67" t="s">
        <v>122</v>
      </c>
      <c r="F14" s="68"/>
      <c r="G14" s="68"/>
      <c r="H14" s="62">
        <v>15</v>
      </c>
      <c r="I14" s="7"/>
    </row>
    <row r="15" spans="1:9" ht="15.65" x14ac:dyDescent="0.25">
      <c r="B15" s="7"/>
      <c r="C15" s="61"/>
      <c r="D15" s="61"/>
      <c r="E15" s="67" t="s">
        <v>102</v>
      </c>
      <c r="F15" s="69">
        <f>SUM(F8:F12)</f>
        <v>135</v>
      </c>
      <c r="G15" s="69">
        <f>SUM(G8:G12)</f>
        <v>152.55000000000001</v>
      </c>
      <c r="H15" s="69">
        <f>SUM(H8:H12)-H14</f>
        <v>198.75</v>
      </c>
      <c r="I15" s="7"/>
    </row>
    <row r="16" spans="1:9" ht="14.95" x14ac:dyDescent="0.2">
      <c r="B16" s="7"/>
      <c r="C16" s="70"/>
      <c r="D16" s="71"/>
      <c r="E16" s="71"/>
      <c r="F16" s="71"/>
      <c r="G16" s="71"/>
      <c r="H16" s="72"/>
      <c r="I16" s="7"/>
    </row>
    <row r="17" spans="2:9" ht="15.65" x14ac:dyDescent="0.25">
      <c r="B17" s="7"/>
      <c r="C17" s="73" t="s">
        <v>78</v>
      </c>
      <c r="D17" s="71"/>
      <c r="E17" s="71"/>
      <c r="F17" s="71"/>
      <c r="G17" s="71"/>
      <c r="H17" s="74">
        <f>G15-F15</f>
        <v>17.550000000000011</v>
      </c>
      <c r="I17" s="7"/>
    </row>
    <row r="18" spans="2:9" ht="15.65" x14ac:dyDescent="0.25">
      <c r="B18" s="7"/>
      <c r="C18" s="75" t="s">
        <v>77</v>
      </c>
      <c r="D18" s="76"/>
      <c r="E18" s="76"/>
      <c r="F18" s="76"/>
      <c r="G18" s="76"/>
      <c r="H18" s="77">
        <f>H15-F15</f>
        <v>63.75</v>
      </c>
      <c r="I18" s="7"/>
    </row>
    <row r="19" spans="2:9" ht="10.55" customHeight="1" x14ac:dyDescent="0.25">
      <c r="B19" s="7"/>
      <c r="C19" s="8"/>
      <c r="D19" s="7"/>
      <c r="E19" s="7"/>
      <c r="F19" s="7"/>
      <c r="G19" s="7"/>
      <c r="H19" s="9"/>
      <c r="I19" s="7"/>
    </row>
    <row r="20" spans="2:9" ht="11.25" customHeight="1" x14ac:dyDescent="0.2"/>
    <row r="21" spans="2:9" s="53" customFormat="1" ht="18.350000000000001" x14ac:dyDescent="0.25">
      <c r="C21" s="54" t="s">
        <v>113</v>
      </c>
    </row>
    <row r="22" spans="2:9" s="53" customFormat="1" ht="18.350000000000001" x14ac:dyDescent="0.25">
      <c r="C22" s="54" t="s">
        <v>114</v>
      </c>
    </row>
    <row r="23" spans="2:9" s="53" customFormat="1" ht="18.350000000000001" x14ac:dyDescent="0.25">
      <c r="C23" s="55" t="s">
        <v>115</v>
      </c>
    </row>
    <row r="24" spans="2:9" s="53" customFormat="1" ht="18.350000000000001" x14ac:dyDescent="0.25">
      <c r="C24" s="54" t="s">
        <v>116</v>
      </c>
    </row>
    <row r="25" spans="2:9" ht="18.350000000000001" x14ac:dyDescent="0.25">
      <c r="C25" s="54" t="s">
        <v>117</v>
      </c>
      <c r="D25" s="53"/>
      <c r="E25" s="53"/>
      <c r="F25" s="53"/>
      <c r="G25" s="53"/>
    </row>
    <row r="28" spans="2:9" ht="14.95" x14ac:dyDescent="0.25">
      <c r="C28" s="2" t="s">
        <v>107</v>
      </c>
    </row>
    <row r="29" spans="2:9" ht="14.3" x14ac:dyDescent="0.2">
      <c r="C29" t="s">
        <v>104</v>
      </c>
    </row>
    <row r="30" spans="2:9" ht="14.3" x14ac:dyDescent="0.2">
      <c r="C30" t="s">
        <v>105</v>
      </c>
    </row>
    <row r="31" spans="2:9" x14ac:dyDescent="0.2">
      <c r="C31" t="s">
        <v>103</v>
      </c>
    </row>
    <row r="32" spans="2:9" x14ac:dyDescent="0.2">
      <c r="C32" t="s">
        <v>106</v>
      </c>
    </row>
  </sheetData>
  <sheetProtection sheet="1" objects="1" scenarios="1"/>
  <mergeCells count="2">
    <mergeCell ref="C3:H3"/>
    <mergeCell ref="C13:H13"/>
  </mergeCells>
  <pageMargins left="0.7" right="0.7" top="0.78740157499999996" bottom="0.78740157499999996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Erläuterungen</vt:lpstr>
      <vt:lpstr>Rassevergleich Bullenmast</vt:lpstr>
      <vt:lpstr>Erlös Kälber</vt:lpstr>
      <vt:lpstr>'Rassevergleich Bullenmast'!Druckbereich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Gräter, Frank  (LEL)</dc:creator>
  <cp:lastModifiedBy>Schröder, Gudrun (LEL)</cp:lastModifiedBy>
  <cp:lastPrinted>2015-12-08T10:15:40Z</cp:lastPrinted>
  <dcterms:created xsi:type="dcterms:W3CDTF">2015-05-08T11:40:26Z</dcterms:created>
  <dcterms:modified xsi:type="dcterms:W3CDTF">2016-11-22T12:27:11Z</dcterms:modified>
</cp:coreProperties>
</file>